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clark\Downloads\"/>
    </mc:Choice>
  </mc:AlternateContent>
  <xr:revisionPtr revIDLastSave="0" documentId="8_{DD004ECF-0F26-424C-9BCC-4F52742CD83C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FY26 P&amp;L Summary" sheetId="66" r:id="rId1"/>
    <sheet name="FY26 Beacon Endowment Dist" sheetId="110" r:id="rId2"/>
    <sheet name="FY26 Occupancy Cost" sheetId="111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3" i="66" l="1"/>
  <c r="F43" i="66"/>
  <c r="E43" i="66"/>
  <c r="D43" i="66"/>
  <c r="C43" i="66"/>
  <c r="G53" i="66" l="1"/>
  <c r="G54" i="66" s="1"/>
  <c r="G14" i="66"/>
  <c r="G19" i="66" s="1"/>
  <c r="G23" i="66" s="1"/>
  <c r="G24" i="66" l="1"/>
  <c r="G34" i="66" s="1"/>
  <c r="G38" i="66" s="1"/>
  <c r="G42" i="66" s="1"/>
  <c r="G55" i="66" s="1"/>
  <c r="G72" i="66" l="1"/>
  <c r="G75" i="66" s="1"/>
  <c r="D14" i="66"/>
  <c r="F44" i="111"/>
  <c r="E44" i="111"/>
  <c r="G44" i="111" s="1"/>
  <c r="G40" i="111"/>
  <c r="G24" i="111"/>
  <c r="G13" i="111"/>
  <c r="G11" i="111"/>
  <c r="G8" i="111"/>
  <c r="E76" i="66"/>
  <c r="D76" i="66"/>
  <c r="C76" i="66"/>
  <c r="G25" i="111" l="1"/>
  <c r="G28" i="111" s="1"/>
  <c r="G29" i="111" s="1"/>
  <c r="G30" i="111" s="1"/>
  <c r="G31" i="111" s="1"/>
  <c r="G32" i="111" s="1"/>
  <c r="G33" i="111" s="1"/>
  <c r="G34" i="111" s="1"/>
  <c r="G35" i="111" s="1"/>
  <c r="G36" i="111" s="1"/>
  <c r="G6" i="111" s="1"/>
  <c r="G14" i="111" l="1"/>
  <c r="I14" i="111" l="1"/>
  <c r="F80" i="66" a="1"/>
  <c r="F80" i="66" s="1"/>
  <c r="F76" i="66" l="1"/>
  <c r="G80" i="66"/>
  <c r="G76" i="66" s="1"/>
  <c r="G77" i="66" s="1"/>
  <c r="G78" i="66" s="1"/>
  <c r="G57" i="66" s="1"/>
  <c r="G59" i="66" s="1"/>
  <c r="G64" i="66" s="1"/>
  <c r="G69" i="66" s="1"/>
  <c r="G17" i="110"/>
  <c r="J32" i="110" l="1"/>
  <c r="C28" i="110"/>
  <c r="C31" i="110" s="1"/>
  <c r="F17" i="110"/>
  <c r="G9" i="110"/>
  <c r="G8" i="110"/>
  <c r="C33" i="110" s="1"/>
  <c r="C36" i="110" s="1"/>
  <c r="C38" i="110" l="1"/>
  <c r="G16" i="110" s="1"/>
  <c r="F16" i="110" s="1"/>
  <c r="C34" i="66" l="1"/>
  <c r="C14" i="66" l="1"/>
  <c r="C19" i="66" l="1"/>
  <c r="C23" i="66" s="1"/>
  <c r="D34" i="66"/>
  <c r="D19" i="66"/>
  <c r="D23" i="66" s="1"/>
  <c r="D24" i="66" s="1"/>
  <c r="C24" i="66" l="1"/>
  <c r="C38" i="66"/>
  <c r="C42" i="66" s="1"/>
  <c r="C53" i="66" l="1"/>
  <c r="C55" i="66" l="1"/>
  <c r="C72" i="66" l="1"/>
  <c r="C75" i="66" s="1"/>
  <c r="C77" i="66" s="1"/>
  <c r="C78" i="66" s="1"/>
  <c r="C57" i="66" s="1"/>
  <c r="C59" i="66" s="1"/>
  <c r="C64" i="66" s="1"/>
  <c r="C69" i="66" s="1"/>
  <c r="F14" i="66" l="1"/>
  <c r="F19" i="66" l="1"/>
  <c r="F23" i="66" s="1"/>
  <c r="F24" i="66" l="1"/>
  <c r="D53" i="66" l="1"/>
  <c r="D54" i="66" s="1"/>
  <c r="E14" i="66" l="1"/>
  <c r="E19" i="66" l="1"/>
  <c r="E23" i="66" s="1"/>
  <c r="E24" i="66" s="1"/>
  <c r="F34" i="66" l="1"/>
  <c r="F38" i="66" l="1"/>
  <c r="D38" i="66" l="1"/>
  <c r="D42" i="66" s="1"/>
  <c r="F42" i="66"/>
  <c r="D55" i="66" l="1"/>
  <c r="D72" i="66" l="1"/>
  <c r="D75" i="66" s="1"/>
  <c r="D77" i="66" s="1"/>
  <c r="D78" i="66" s="1"/>
  <c r="D57" i="66" s="1"/>
  <c r="D59" i="66" s="1"/>
  <c r="D64" i="66" s="1"/>
  <c r="D69" i="66" s="1"/>
  <c r="E34" i="66" l="1"/>
  <c r="E38" i="66" s="1"/>
  <c r="E42" i="66" s="1"/>
  <c r="E53" i="66" l="1"/>
  <c r="E55" i="66" l="1"/>
  <c r="E54" i="66"/>
  <c r="F53" i="66"/>
  <c r="E72" i="66"/>
  <c r="E75" i="66" s="1"/>
  <c r="E77" i="66" s="1"/>
  <c r="E78" i="66" s="1"/>
  <c r="E57" i="66" s="1"/>
  <c r="E59" i="66" s="1"/>
  <c r="E64" i="66" s="1"/>
  <c r="F55" i="66" l="1"/>
  <c r="F72" i="66" s="1"/>
  <c r="F54" i="66"/>
  <c r="E69" i="66"/>
  <c r="F75" i="66" l="1"/>
  <c r="F77" i="66" s="1"/>
  <c r="F78" i="66" s="1"/>
  <c r="F57" i="66" s="1"/>
  <c r="F59" i="66"/>
  <c r="F64" i="66" s="1"/>
  <c r="F69" i="6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Jason LeBeau</author>
  </authors>
  <commentList>
    <comment ref="E44" authorId="0" shapeId="0" xr:uid="{66C9B3E0-7810-4950-A7C3-7EB89F361B06}">
      <text>
        <r>
          <rPr>
            <b/>
            <sz val="9"/>
            <color rgb="FF000000"/>
            <rFont val="Tahoma"/>
            <family val="2"/>
          </rPr>
          <t>Jason LeBeau: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Base Year FY17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<sst xmlns="http://schemas.openxmlformats.org/spreadsheetml/2006/main" count="152" uniqueCount="130">
  <si>
    <t>Total</t>
  </si>
  <si>
    <t>eBooks</t>
  </si>
  <si>
    <t>Frontlist</t>
  </si>
  <si>
    <t>BEACON PRESS</t>
  </si>
  <si>
    <t>Distributor Gross Sales:</t>
  </si>
  <si>
    <t>Distributor Returns</t>
  </si>
  <si>
    <t>Distributor Net Sales</t>
  </si>
  <si>
    <t>House Sales</t>
  </si>
  <si>
    <t>Net Sales</t>
  </si>
  <si>
    <t>Cost of Sales:</t>
  </si>
  <si>
    <t>Manufacturing</t>
  </si>
  <si>
    <t>Inventory Write-Down</t>
  </si>
  <si>
    <t>Royalty</t>
  </si>
  <si>
    <t>Total Cost of Sales</t>
  </si>
  <si>
    <t>Gross Margin</t>
  </si>
  <si>
    <t>Other Publishing Income</t>
  </si>
  <si>
    <t>Total Gross Profit</t>
  </si>
  <si>
    <t>Total Gross Sales</t>
  </si>
  <si>
    <t>Editorial</t>
  </si>
  <si>
    <t>Business Office</t>
  </si>
  <si>
    <t>House Fulfillment</t>
  </si>
  <si>
    <t>Administration</t>
  </si>
  <si>
    <t>Audio</t>
  </si>
  <si>
    <t>Royalty Reserve</t>
  </si>
  <si>
    <t>Returns Reserve Adj</t>
  </si>
  <si>
    <t>Audio Amortization</t>
  </si>
  <si>
    <t>Sales/Marketing/Publicity</t>
  </si>
  <si>
    <t>ACTUAL</t>
  </si>
  <si>
    <t>Ongoing Operating Expenses:</t>
  </si>
  <si>
    <t>Investments &amp; Bank Interest</t>
  </si>
  <si>
    <t>Overall Surplus/(Loss)</t>
  </si>
  <si>
    <t>Net Sales excluding Returns Adj</t>
  </si>
  <si>
    <t>Veatch Grant</t>
  </si>
  <si>
    <t>Enterprise Systems</t>
  </si>
  <si>
    <t>Production/Art</t>
  </si>
  <si>
    <t>Backlist &amp; Text</t>
  </si>
  <si>
    <t>PRH Fees</t>
  </si>
  <si>
    <t>Comments</t>
  </si>
  <si>
    <t>Returns Adj.</t>
  </si>
  <si>
    <t>BUDGET</t>
  </si>
  <si>
    <t>Beacon Press</t>
  </si>
  <si>
    <t>Subtotal</t>
  </si>
  <si>
    <t>Donations</t>
  </si>
  <si>
    <t>Base Occupancy</t>
  </si>
  <si>
    <t>Additional Cost Share</t>
  </si>
  <si>
    <t>Publishing Income - Pre Additional Cost Share</t>
  </si>
  <si>
    <t>Publishing Income - Post Additional Cost Share</t>
  </si>
  <si>
    <t>Total Publishing Income</t>
  </si>
  <si>
    <t>FY24</t>
  </si>
  <si>
    <t>Notes</t>
  </si>
  <si>
    <t>OCCUPANCY NOT UPDATED FROM FY21 TAB.  ASSUME UNCH'D STAFF LOCATIONS DUE TO COVID-RELATED TRANSITIONS</t>
  </si>
  <si>
    <t>Total External Cost Estimate (details below)</t>
  </si>
  <si>
    <t>Financial Services</t>
  </si>
  <si>
    <t xml:space="preserve">IT </t>
  </si>
  <si>
    <t>**from ITS(updated) tab; not updated</t>
  </si>
  <si>
    <t xml:space="preserve"> (less annual chargebacks currently charged to BP)</t>
  </si>
  <si>
    <t>Human Resources</t>
  </si>
  <si>
    <t>Office Space</t>
  </si>
  <si>
    <t>Total External Cost Estimate</t>
  </si>
  <si>
    <t xml:space="preserve">Financial Services </t>
  </si>
  <si>
    <t># Hours</t>
  </si>
  <si>
    <t>Accounting (AP, PR, cash mgmt, audit, rptg, banking)</t>
  </si>
  <si>
    <t>Hourly rate estimate per Accountemps/Andrew Clark</t>
  </si>
  <si>
    <t xml:space="preserve">   Accountant</t>
  </si>
  <si>
    <t xml:space="preserve">   Controller</t>
  </si>
  <si>
    <t>Total Compensation (including salary, benefits, facilities)</t>
  </si>
  <si>
    <t>Financial Services Overhead (supplies, ADP, FE) @ 5%</t>
  </si>
  <si>
    <t>Insurance - D&amp;O, Gen'l Liab, Worker's Comp estimate per Church Mutual/S.Hunter</t>
  </si>
  <si>
    <t>n/a</t>
  </si>
  <si>
    <t>Total Financial Services</t>
  </si>
  <si>
    <t>FY'18 Uplift + 3%</t>
  </si>
  <si>
    <t>FY'19 Uplift + 3%</t>
  </si>
  <si>
    <t>FY'20 Uplift + 3%</t>
  </si>
  <si>
    <t>FY'21 Uplift + 3%</t>
  </si>
  <si>
    <t>FY'22 Uplift + 3%</t>
  </si>
  <si>
    <t>FY'23 Uplift + 3%</t>
  </si>
  <si>
    <t>FY'24 Uplift + 3%</t>
  </si>
  <si>
    <t>3% inflation advanced two years from BP-FY21 tab</t>
  </si>
  <si>
    <t>Annual Bud.</t>
  </si>
  <si>
    <t>BP %</t>
  </si>
  <si>
    <t>Total HR cc630 excluding Benefit Transfer (8% per R. Molla)</t>
  </si>
  <si>
    <t>FY22 actuals for cc630 = 510,957</t>
  </si>
  <si>
    <t>Total Occup.</t>
  </si>
  <si>
    <t>BP EE</t>
  </si>
  <si>
    <t>Annual</t>
  </si>
  <si>
    <t>Operations cc672 Budget net, less tenant depr.</t>
  </si>
  <si>
    <t>see facilities tab, column H</t>
  </si>
  <si>
    <t>UUCEF Distribution</t>
  </si>
  <si>
    <t>Monthly</t>
  </si>
  <si>
    <t>Quarterly</t>
  </si>
  <si>
    <t>Beacon Acumen Classification</t>
  </si>
  <si>
    <t>UUCEF</t>
  </si>
  <si>
    <t>Beacon Endowment</t>
  </si>
  <si>
    <t>10045-000-000</t>
  </si>
  <si>
    <t>Beacon Permanent</t>
  </si>
  <si>
    <t>10125-000-000</t>
  </si>
  <si>
    <t>(a)</t>
  </si>
  <si>
    <t>1. Beacon directly pays for hardware primarily laptops -- UUA IT procures as needed and charges back to Beacon</t>
  </si>
  <si>
    <t>2. Beacon directly pays for various software not 'sourced' through UUA IT</t>
  </si>
  <si>
    <t>3. Beacon directly pays annual license and hosting fee for Biblio Publishing System (UUA does not host Biblio)</t>
  </si>
  <si>
    <t>4. Beacon directly pays monthly maintance fee for Acumen Financial System and UUA hosts Acumen</t>
  </si>
  <si>
    <t>(a):</t>
  </si>
  <si>
    <t>Beacon Endowment Distribution Calculation</t>
  </si>
  <si>
    <t>UUA Spending Rate</t>
  </si>
  <si>
    <t>Weighting Factor</t>
  </si>
  <si>
    <t>FY25</t>
  </si>
  <si>
    <t>FCST</t>
  </si>
  <si>
    <t>FY26</t>
  </si>
  <si>
    <t xml:space="preserve">FY26 Budget </t>
  </si>
  <si>
    <t>FY25 Rates</t>
  </si>
  <si>
    <t>CY2024 Quarterly Average</t>
  </si>
  <si>
    <t>FY24 Approved Distribution</t>
  </si>
  <si>
    <t>March '24</t>
  </si>
  <si>
    <t>June '24</t>
  </si>
  <si>
    <t>Sept '24</t>
  </si>
  <si>
    <t>FY26 Budget</t>
  </si>
  <si>
    <t>FY26 Rates</t>
  </si>
  <si>
    <t>Dec '24</t>
  </si>
  <si>
    <t>Total Approved Distribution for FY26</t>
  </si>
  <si>
    <t>Publishing Income</t>
  </si>
  <si>
    <t>Endowment</t>
  </si>
  <si>
    <t>Interest</t>
  </si>
  <si>
    <t>50% of UUA Cost Allocation</t>
  </si>
  <si>
    <t>Excess/(Shortfall) for Profit Share</t>
  </si>
  <si>
    <t>UUA Cost Allocation</t>
  </si>
  <si>
    <t>Profit Share with UUA</t>
  </si>
  <si>
    <t>UUA - Beacon Press - FY25 BUDGET BASED ON FY22 ACTUALS FOR OFFICE AND HR</t>
  </si>
  <si>
    <t>FY'25 Uplift + 3%</t>
  </si>
  <si>
    <t>CY2025 Inflation Rate</t>
  </si>
  <si>
    <t>FY27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</si>
</sst>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&quot;$&quot;* #,##0_);_(&quot;$&quot;* \(#,##0\);_(&quot;$&quot;* &quot;-&quot;??_);_(@_)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 val="singleAccounting"/>
      <sz val="1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Calibri"/>
      <family val="2"/>
    </font>
    <font>
      <b/>
      <u/>
      <sz val="10"/>
      <color rgb="FF000000"/>
      <name val="Arial"/>
      <family val="2"/>
    </font>
    <font>
      <b/>
      <i/>
      <sz val="8"/>
      <name val="Arial"/>
      <family val="2"/>
    </font>
    <font>
      <b/>
      <sz val="10"/>
      <color rgb="FF000000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2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b/>
      <i/>
      <sz val="9"/>
      <name val="Arial"/>
      <family val="2"/>
    </font>
    <font>
      <b/>
      <sz val="10"/>
      <color theme="0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8">
    <xf numFmtId="0" fontId="0" fillId="0" borderId="0"/>
    <xf numFmtId="44" fontId="10" fillId="0" borderId="0" applyFont="0" applyFill="0" applyBorder="0" applyAlignment="0" applyProtection="0"/>
    <xf numFmtId="0" fontId="11" fillId="0" borderId="0"/>
    <xf numFmtId="9" fontId="10" fillId="0" borderId="0" applyFont="0" applyFill="0" applyBorder="0" applyAlignment="0" applyProtection="0"/>
    <xf numFmtId="0" fontId="11" fillId="0" borderId="0"/>
    <xf numFmtId="44" fontId="10" fillId="0" borderId="0" applyFont="0" applyFill="0" applyBorder="0" applyAlignment="0" applyProtection="0"/>
    <xf numFmtId="0" fontId="21" fillId="0" borderId="0" applyFill="0" applyBorder="0" applyAlignment="0" applyProtection="0">
      <protection locked="0"/>
    </xf>
    <xf numFmtId="0" fontId="22" fillId="0" borderId="0" applyFill="0" applyAlignment="0" applyProtection="0">
      <protection locked="0"/>
    </xf>
    <xf numFmtId="0" fontId="22" fillId="0" borderId="2" applyFill="0" applyAlignment="0" applyProtection="0">
      <protection locked="0"/>
    </xf>
    <xf numFmtId="0" fontId="22" fillId="0" borderId="0" applyFill="0" applyBorder="0" applyProtection="0">
      <alignment horizontal="center"/>
      <protection locked="0"/>
    </xf>
    <xf numFmtId="0" fontId="10" fillId="0" borderId="0"/>
    <xf numFmtId="0" fontId="10" fillId="0" borderId="0"/>
    <xf numFmtId="0" fontId="23" fillId="0" borderId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0" fillId="0" borderId="0"/>
    <xf numFmtId="9" fontId="6" fillId="0" borderId="0" applyFont="0" applyFill="0" applyBorder="0" applyAlignment="0" applyProtection="0"/>
    <xf numFmtId="0" fontId="6" fillId="0" borderId="0"/>
    <xf numFmtId="9" fontId="30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3" fillId="0" borderId="20" applyNumberFormat="0" applyFill="0" applyAlignment="0" applyProtection="0"/>
    <xf numFmtId="0" fontId="34" fillId="0" borderId="21" applyNumberFormat="0" applyFill="0" applyAlignment="0" applyProtection="0"/>
    <xf numFmtId="0" fontId="34" fillId="0" borderId="0" applyNumberFormat="0" applyFill="0" applyBorder="0" applyAlignment="0" applyProtection="0"/>
    <xf numFmtId="0" fontId="35" fillId="13" borderId="0" applyNumberFormat="0" applyBorder="0" applyAlignment="0" applyProtection="0"/>
    <xf numFmtId="0" fontId="36" fillId="14" borderId="0" applyNumberFormat="0" applyBorder="0" applyAlignment="0" applyProtection="0"/>
    <xf numFmtId="0" fontId="37" fillId="15" borderId="0" applyNumberFormat="0" applyBorder="0" applyAlignment="0" applyProtection="0"/>
    <xf numFmtId="0" fontId="38" fillId="16" borderId="22" applyNumberFormat="0" applyAlignment="0" applyProtection="0"/>
    <xf numFmtId="0" fontId="39" fillId="17" borderId="23" applyNumberFormat="0" applyAlignment="0" applyProtection="0"/>
    <xf numFmtId="0" fontId="40" fillId="17" borderId="22" applyNumberFormat="0" applyAlignment="0" applyProtection="0"/>
    <xf numFmtId="0" fontId="41" fillId="0" borderId="24" applyNumberFormat="0" applyFill="0" applyAlignment="0" applyProtection="0"/>
    <xf numFmtId="0" fontId="42" fillId="18" borderId="25" applyNumberFormat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4" fillId="0" borderId="27" applyNumberFormat="0" applyFill="0" applyAlignment="0" applyProtection="0"/>
    <xf numFmtId="0" fontId="4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4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4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4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4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19" borderId="26" applyNumberFormat="0" applyFont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4" fillId="0" borderId="0"/>
    <xf numFmtId="43" fontId="3" fillId="0" borderId="0" applyFont="0" applyFill="0" applyBorder="0" applyAlignment="0" applyProtection="0"/>
    <xf numFmtId="0" fontId="24" fillId="0" borderId="0">
      <alignment wrapText="1"/>
    </xf>
    <xf numFmtId="0" fontId="2" fillId="0" borderId="0"/>
    <xf numFmtId="0" fontId="2" fillId="19" borderId="26" applyNumberFormat="0" applyFont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0" fontId="2" fillId="19" borderId="26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5">
    <xf numFmtId="0" fontId="0" fillId="0" borderId="0" xfId="0"/>
    <xf numFmtId="0" fontId="12" fillId="0" borderId="0" xfId="0" applyFont="1"/>
    <xf numFmtId="166" fontId="12" fillId="0" borderId="0" xfId="0" applyNumberFormat="1" applyFont="1"/>
    <xf numFmtId="166" fontId="12" fillId="0" borderId="0" xfId="1" applyNumberFormat="1" applyFont="1"/>
    <xf numFmtId="166" fontId="13" fillId="0" borderId="0" xfId="1" applyNumberFormat="1" applyFont="1"/>
    <xf numFmtId="0" fontId="12" fillId="0" borderId="0" xfId="0" applyFont="1" applyAlignment="1">
      <alignment horizontal="left" indent="2"/>
    </xf>
    <xf numFmtId="15" fontId="16" fillId="0" borderId="0" xfId="0" applyNumberFormat="1" applyFont="1"/>
    <xf numFmtId="0" fontId="18" fillId="0" borderId="0" xfId="0" applyFont="1"/>
    <xf numFmtId="0" fontId="19" fillId="5" borderId="0" xfId="0" applyFont="1" applyFill="1"/>
    <xf numFmtId="0" fontId="19" fillId="0" borderId="0" xfId="0" applyFont="1"/>
    <xf numFmtId="0" fontId="12" fillId="6" borderId="0" xfId="0" applyFont="1" applyFill="1"/>
    <xf numFmtId="166" fontId="12" fillId="0" borderId="13" xfId="1" applyNumberFormat="1" applyFont="1" applyBorder="1"/>
    <xf numFmtId="166" fontId="13" fillId="0" borderId="13" xfId="1" applyNumberFormat="1" applyFont="1" applyBorder="1"/>
    <xf numFmtId="0" fontId="12" fillId="0" borderId="12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2" fillId="0" borderId="13" xfId="0" applyFont="1" applyBorder="1"/>
    <xf numFmtId="166" fontId="12" fillId="5" borderId="13" xfId="1" applyNumberFormat="1" applyFont="1" applyFill="1" applyBorder="1"/>
    <xf numFmtId="0" fontId="12" fillId="0" borderId="7" xfId="0" applyFont="1" applyBorder="1"/>
    <xf numFmtId="0" fontId="12" fillId="0" borderId="13" xfId="0" applyFont="1" applyBorder="1" applyAlignment="1">
      <alignment horizontal="center"/>
    </xf>
    <xf numFmtId="166" fontId="13" fillId="0" borderId="13" xfId="0" applyNumberFormat="1" applyFont="1" applyBorder="1"/>
    <xf numFmtId="0" fontId="12" fillId="0" borderId="9" xfId="0" applyFont="1" applyBorder="1"/>
    <xf numFmtId="0" fontId="19" fillId="7" borderId="0" xfId="0" applyFont="1" applyFill="1"/>
    <xf numFmtId="166" fontId="12" fillId="0" borderId="0" xfId="1" applyNumberFormat="1" applyFont="1" applyFill="1"/>
    <xf numFmtId="166" fontId="12" fillId="0" borderId="13" xfId="1" applyNumberFormat="1" applyFont="1" applyFill="1" applyBorder="1"/>
    <xf numFmtId="166" fontId="12" fillId="6" borderId="13" xfId="1" applyNumberFormat="1" applyFont="1" applyFill="1" applyBorder="1"/>
    <xf numFmtId="166" fontId="13" fillId="0" borderId="13" xfId="1" applyNumberFormat="1" applyFont="1" applyFill="1" applyBorder="1"/>
    <xf numFmtId="166" fontId="13" fillId="0" borderId="6" xfId="1" applyNumberFormat="1" applyFont="1" applyFill="1" applyBorder="1"/>
    <xf numFmtId="166" fontId="14" fillId="0" borderId="13" xfId="1" applyNumberFormat="1" applyFont="1" applyBorder="1"/>
    <xf numFmtId="0" fontId="12" fillId="0" borderId="6" xfId="0" applyFont="1" applyBorder="1"/>
    <xf numFmtId="166" fontId="12" fillId="0" borderId="6" xfId="1" applyNumberFormat="1" applyFont="1" applyBorder="1"/>
    <xf numFmtId="166" fontId="13" fillId="0" borderId="6" xfId="1" applyNumberFormat="1" applyFont="1" applyBorder="1"/>
    <xf numFmtId="166" fontId="12" fillId="6" borderId="6" xfId="1" applyNumberFormat="1" applyFont="1" applyFill="1" applyBorder="1"/>
    <xf numFmtId="166" fontId="12" fillId="0" borderId="6" xfId="1" applyNumberFormat="1" applyFont="1" applyFill="1" applyBorder="1"/>
    <xf numFmtId="0" fontId="12" fillId="0" borderId="6" xfId="0" applyFont="1" applyBorder="1" applyAlignment="1">
      <alignment horizontal="center"/>
    </xf>
    <xf numFmtId="0" fontId="12" fillId="4" borderId="15" xfId="0" applyFont="1" applyFill="1" applyBorder="1" applyAlignment="1">
      <alignment horizontal="center"/>
    </xf>
    <xf numFmtId="0" fontId="12" fillId="6" borderId="0" xfId="0" applyFont="1" applyFill="1" applyAlignment="1">
      <alignment horizontal="left" indent="2"/>
    </xf>
    <xf numFmtId="166" fontId="13" fillId="0" borderId="0" xfId="1" applyNumberFormat="1" applyFont="1" applyFill="1"/>
    <xf numFmtId="166" fontId="13" fillId="9" borderId="6" xfId="1" applyNumberFormat="1" applyFont="1" applyFill="1" applyBorder="1"/>
    <xf numFmtId="166" fontId="12" fillId="10" borderId="0" xfId="1" applyNumberFormat="1" applyFont="1" applyFill="1"/>
    <xf numFmtId="0" fontId="20" fillId="0" borderId="7" xfId="0" applyFont="1" applyBorder="1" applyAlignment="1">
      <alignment horizontal="center"/>
    </xf>
    <xf numFmtId="0" fontId="12" fillId="3" borderId="15" xfId="0" applyFont="1" applyFill="1" applyBorder="1" applyAlignment="1">
      <alignment horizontal="center"/>
    </xf>
    <xf numFmtId="0" fontId="12" fillId="3" borderId="12" xfId="0" applyFont="1" applyFill="1" applyBorder="1" applyAlignment="1">
      <alignment horizontal="center"/>
    </xf>
    <xf numFmtId="165" fontId="47" fillId="0" borderId="6" xfId="3" applyNumberFormat="1" applyFont="1" applyBorder="1"/>
    <xf numFmtId="166" fontId="13" fillId="0" borderId="6" xfId="0" applyNumberFormat="1" applyFont="1" applyBorder="1"/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quotePrefix="1" applyFont="1" applyAlignment="1">
      <alignment horizontal="left"/>
    </xf>
    <xf numFmtId="0" fontId="20" fillId="0" borderId="0" xfId="0" applyFont="1" applyAlignment="1">
      <alignment horizontal="center"/>
    </xf>
    <xf numFmtId="0" fontId="17" fillId="0" borderId="7" xfId="0" applyFont="1" applyBorder="1" applyAlignment="1">
      <alignment horizontal="center"/>
    </xf>
    <xf numFmtId="165" fontId="47" fillId="0" borderId="6" xfId="3" applyNumberFormat="1" applyFont="1" applyFill="1" applyBorder="1"/>
    <xf numFmtId="165" fontId="47" fillId="0" borderId="13" xfId="3" applyNumberFormat="1" applyFont="1" applyFill="1" applyBorder="1"/>
    <xf numFmtId="166" fontId="12" fillId="0" borderId="11" xfId="1" applyNumberFormat="1" applyFont="1" applyFill="1" applyBorder="1"/>
    <xf numFmtId="166" fontId="12" fillId="7" borderId="13" xfId="1" applyNumberFormat="1" applyFont="1" applyFill="1" applyBorder="1"/>
    <xf numFmtId="166" fontId="13" fillId="9" borderId="13" xfId="1" applyNumberFormat="1" applyFont="1" applyFill="1" applyBorder="1"/>
    <xf numFmtId="0" fontId="14" fillId="0" borderId="0" xfId="135" applyFont="1"/>
    <xf numFmtId="0" fontId="14" fillId="8" borderId="0" xfId="135" applyFont="1" applyFill="1" applyAlignment="1">
      <alignment horizontal="centerContinuous"/>
    </xf>
    <xf numFmtId="0" fontId="15" fillId="0" borderId="0" xfId="135" applyFont="1" applyAlignment="1">
      <alignment horizontal="center"/>
    </xf>
    <xf numFmtId="44" fontId="14" fillId="0" borderId="0" xfId="5" applyFont="1"/>
    <xf numFmtId="0" fontId="14" fillId="0" borderId="0" xfId="135" applyFont="1" applyAlignment="1">
      <alignment horizontal="center"/>
    </xf>
    <xf numFmtId="0" fontId="15" fillId="0" borderId="0" xfId="135" applyFont="1"/>
    <xf numFmtId="165" fontId="12" fillId="0" borderId="0" xfId="136" applyNumberFormat="1" applyFont="1" applyFill="1" applyBorder="1"/>
    <xf numFmtId="165" fontId="26" fillId="0" borderId="0" xfId="136" applyNumberFormat="1" applyFont="1" applyFill="1" applyBorder="1"/>
    <xf numFmtId="0" fontId="25" fillId="0" borderId="0" xfId="135" applyFont="1" applyAlignment="1">
      <alignment horizontal="right"/>
    </xf>
    <xf numFmtId="8" fontId="14" fillId="0" borderId="0" xfId="137" applyNumberFormat="1" applyFont="1" applyAlignment="1">
      <alignment horizontal="right"/>
    </xf>
    <xf numFmtId="8" fontId="14" fillId="0" borderId="0" xfId="135" applyNumberFormat="1" applyFont="1"/>
    <xf numFmtId="165" fontId="14" fillId="0" borderId="0" xfId="136" applyNumberFormat="1" applyFont="1" applyAlignment="1">
      <alignment horizontal="right"/>
    </xf>
    <xf numFmtId="9" fontId="14" fillId="0" borderId="2" xfId="136" applyFont="1" applyBorder="1" applyAlignment="1">
      <alignment horizontal="right"/>
    </xf>
    <xf numFmtId="43" fontId="14" fillId="0" borderId="0" xfId="135" applyNumberFormat="1" applyFont="1" applyAlignment="1">
      <alignment horizontal="right"/>
    </xf>
    <xf numFmtId="0" fontId="14" fillId="0" borderId="0" xfId="135" applyFont="1" applyAlignment="1">
      <alignment horizontal="right"/>
    </xf>
    <xf numFmtId="43" fontId="14" fillId="0" borderId="0" xfId="137" applyFont="1" applyAlignment="1">
      <alignment horizontal="right"/>
    </xf>
    <xf numFmtId="165" fontId="14" fillId="2" borderId="0" xfId="136" applyNumberFormat="1" applyFont="1" applyFill="1" applyAlignment="1">
      <alignment horizontal="right"/>
    </xf>
    <xf numFmtId="43" fontId="14" fillId="0" borderId="18" xfId="135" applyNumberFormat="1" applyFont="1" applyBorder="1" applyAlignment="1">
      <alignment horizontal="right"/>
    </xf>
    <xf numFmtId="165" fontId="14" fillId="0" borderId="0" xfId="136" applyNumberFormat="1" applyFont="1" applyBorder="1" applyAlignment="1">
      <alignment horizontal="right"/>
    </xf>
    <xf numFmtId="9" fontId="14" fillId="0" borderId="0" xfId="136" applyFont="1" applyBorder="1" applyAlignment="1">
      <alignment horizontal="right"/>
    </xf>
    <xf numFmtId="166" fontId="14" fillId="0" borderId="0" xfId="5" applyNumberFormat="1" applyFont="1"/>
    <xf numFmtId="0" fontId="12" fillId="0" borderId="16" xfId="135" applyFont="1" applyBorder="1"/>
    <xf numFmtId="0" fontId="1" fillId="0" borderId="16" xfId="135" applyBorder="1"/>
    <xf numFmtId="0" fontId="1" fillId="0" borderId="0" xfId="135"/>
    <xf numFmtId="0" fontId="26" fillId="0" borderId="0" xfId="135" applyFont="1"/>
    <xf numFmtId="0" fontId="12" fillId="3" borderId="10" xfId="135" applyFont="1" applyFill="1" applyBorder="1"/>
    <xf numFmtId="0" fontId="1" fillId="3" borderId="14" xfId="135" applyFill="1" applyBorder="1"/>
    <xf numFmtId="0" fontId="12" fillId="3" borderId="15" xfId="135" applyFont="1" applyFill="1" applyBorder="1" applyAlignment="1">
      <alignment horizontal="center"/>
    </xf>
    <xf numFmtId="0" fontId="1" fillId="0" borderId="3" xfId="135" applyBorder="1"/>
    <xf numFmtId="0" fontId="1" fillId="0" borderId="4" xfId="135" applyBorder="1"/>
    <xf numFmtId="0" fontId="1" fillId="0" borderId="12" xfId="135" applyBorder="1"/>
    <xf numFmtId="0" fontId="1" fillId="0" borderId="6" xfId="135" applyBorder="1"/>
    <xf numFmtId="37" fontId="1" fillId="0" borderId="13" xfId="135" applyNumberFormat="1" applyBorder="1"/>
    <xf numFmtId="37" fontId="1" fillId="0" borderId="0" xfId="135" applyNumberFormat="1"/>
    <xf numFmtId="0" fontId="1" fillId="0" borderId="8" xfId="135" applyBorder="1"/>
    <xf numFmtId="0" fontId="1" fillId="0" borderId="2" xfId="135" applyBorder="1"/>
    <xf numFmtId="37" fontId="1" fillId="0" borderId="1" xfId="135" applyNumberFormat="1" applyBorder="1"/>
    <xf numFmtId="0" fontId="12" fillId="0" borderId="8" xfId="135" applyFont="1" applyBorder="1"/>
    <xf numFmtId="0" fontId="12" fillId="0" borderId="2" xfId="135" applyFont="1" applyBorder="1"/>
    <xf numFmtId="0" fontId="12" fillId="0" borderId="3" xfId="135" applyFont="1" applyBorder="1"/>
    <xf numFmtId="0" fontId="12" fillId="0" borderId="4" xfId="135" applyFont="1" applyBorder="1"/>
    <xf numFmtId="9" fontId="1" fillId="0" borderId="0" xfId="3" applyFont="1"/>
    <xf numFmtId="10" fontId="1" fillId="0" borderId="0" xfId="3" applyNumberFormat="1" applyFont="1"/>
    <xf numFmtId="0" fontId="12" fillId="3" borderId="3" xfId="135" applyFont="1" applyFill="1" applyBorder="1"/>
    <xf numFmtId="0" fontId="1" fillId="3" borderId="4" xfId="135" applyFill="1" applyBorder="1"/>
    <xf numFmtId="0" fontId="27" fillId="3" borderId="12" xfId="135" applyFont="1" applyFill="1" applyBorder="1" applyAlignment="1">
      <alignment horizontal="center"/>
    </xf>
    <xf numFmtId="0" fontId="12" fillId="3" borderId="12" xfId="135" applyFont="1" applyFill="1" applyBorder="1" applyAlignment="1">
      <alignment horizontal="center"/>
    </xf>
    <xf numFmtId="0" fontId="1" fillId="0" borderId="5" xfId="135" applyBorder="1"/>
    <xf numFmtId="37" fontId="1" fillId="0" borderId="7" xfId="135" applyNumberFormat="1" applyBorder="1"/>
    <xf numFmtId="0" fontId="1" fillId="0" borderId="0" xfId="135" applyAlignment="1">
      <alignment horizontal="left"/>
    </xf>
    <xf numFmtId="37" fontId="1" fillId="0" borderId="7" xfId="135" applyNumberFormat="1" applyBorder="1" applyAlignment="1">
      <alignment horizontal="right"/>
    </xf>
    <xf numFmtId="37" fontId="1" fillId="0" borderId="12" xfId="135" applyNumberFormat="1" applyBorder="1"/>
    <xf numFmtId="37" fontId="1" fillId="0" borderId="5" xfId="135" applyNumberFormat="1" applyBorder="1"/>
    <xf numFmtId="37" fontId="1" fillId="0" borderId="2" xfId="135" applyNumberFormat="1" applyBorder="1"/>
    <xf numFmtId="9" fontId="0" fillId="0" borderId="17" xfId="136" applyFont="1" applyBorder="1"/>
    <xf numFmtId="37" fontId="1" fillId="11" borderId="0" xfId="135" applyNumberFormat="1" applyFill="1"/>
    <xf numFmtId="49" fontId="1" fillId="0" borderId="0" xfId="135" applyNumberFormat="1"/>
    <xf numFmtId="165" fontId="1" fillId="0" borderId="0" xfId="135" applyNumberFormat="1"/>
    <xf numFmtId="49" fontId="27" fillId="3" borderId="10" xfId="135" applyNumberFormat="1" applyFont="1" applyFill="1" applyBorder="1"/>
    <xf numFmtId="0" fontId="27" fillId="3" borderId="14" xfId="135" applyFont="1" applyFill="1" applyBorder="1"/>
    <xf numFmtId="0" fontId="12" fillId="3" borderId="4" xfId="135" applyFont="1" applyFill="1" applyBorder="1" applyAlignment="1">
      <alignment horizontal="center"/>
    </xf>
    <xf numFmtId="37" fontId="12" fillId="3" borderId="12" xfId="135" applyNumberFormat="1" applyFont="1" applyFill="1" applyBorder="1"/>
    <xf numFmtId="37" fontId="12" fillId="3" borderId="12" xfId="135" applyNumberFormat="1" applyFont="1" applyFill="1" applyBorder="1" applyAlignment="1">
      <alignment horizontal="center"/>
    </xf>
    <xf numFmtId="49" fontId="1" fillId="0" borderId="3" xfId="135" applyNumberFormat="1" applyBorder="1"/>
    <xf numFmtId="165" fontId="1" fillId="0" borderId="12" xfId="135" applyNumberFormat="1" applyBorder="1"/>
    <xf numFmtId="37" fontId="1" fillId="0" borderId="4" xfId="135" applyNumberFormat="1" applyBorder="1"/>
    <xf numFmtId="49" fontId="1" fillId="0" borderId="8" xfId="135" applyNumberFormat="1" applyBorder="1"/>
    <xf numFmtId="0" fontId="1" fillId="0" borderId="2" xfId="135" applyBorder="1" applyAlignment="1">
      <alignment horizontal="right"/>
    </xf>
    <xf numFmtId="0" fontId="1" fillId="0" borderId="1" xfId="135" applyBorder="1"/>
    <xf numFmtId="37" fontId="1" fillId="12" borderId="1" xfId="135" applyNumberFormat="1" applyFill="1" applyBorder="1"/>
    <xf numFmtId="165" fontId="0" fillId="0" borderId="1" xfId="136" applyNumberFormat="1" applyFont="1" applyFill="1" applyBorder="1"/>
    <xf numFmtId="0" fontId="12" fillId="3" borderId="4" xfId="135" applyFont="1" applyFill="1" applyBorder="1"/>
    <xf numFmtId="0" fontId="12" fillId="3" borderId="10" xfId="135" applyFont="1" applyFill="1" applyBorder="1" applyAlignment="1">
      <alignment horizontal="center"/>
    </xf>
    <xf numFmtId="0" fontId="1" fillId="12" borderId="1" xfId="135" applyFill="1" applyBorder="1"/>
    <xf numFmtId="164" fontId="1" fillId="2" borderId="1" xfId="135" applyNumberFormat="1" applyFill="1" applyBorder="1"/>
    <xf numFmtId="164" fontId="0" fillId="0" borderId="2" xfId="137" applyNumberFormat="1" applyFont="1" applyFill="1" applyBorder="1"/>
    <xf numFmtId="0" fontId="48" fillId="0" borderId="0" xfId="0" applyFont="1"/>
    <xf numFmtId="165" fontId="12" fillId="0" borderId="0" xfId="3" applyNumberFormat="1" applyFont="1"/>
    <xf numFmtId="0" fontId="19" fillId="0" borderId="0" xfId="0" applyFont="1" applyAlignment="1">
      <alignment horizontal="left"/>
    </xf>
    <xf numFmtId="37" fontId="26" fillId="2" borderId="12" xfId="135" applyNumberFormat="1" applyFont="1" applyFill="1" applyBorder="1" applyAlignment="1">
      <alignment horizontal="right" vertical="center"/>
    </xf>
    <xf numFmtId="37" fontId="26" fillId="2" borderId="1" xfId="135" applyNumberFormat="1" applyFont="1" applyFill="1" applyBorder="1" applyAlignment="1">
      <alignment horizontal="right" vertical="center"/>
    </xf>
  </cellXfs>
  <cellStyles count="138">
    <cellStyle name="20% - Accent1" xfId="48" builtinId="30" customBuiltin="1"/>
    <cellStyle name="20% - Accent1 2" xfId="90" xr:uid="{80AD3943-6CA0-40C0-8122-F5F86154F81D}"/>
    <cellStyle name="20% - Accent2" xfId="52" builtinId="34" customBuiltin="1"/>
    <cellStyle name="20% - Accent2 2" xfId="93" xr:uid="{795EB8F0-7B6A-4832-ACE8-90480121C768}"/>
    <cellStyle name="20% - Accent3" xfId="56" builtinId="38" customBuiltin="1"/>
    <cellStyle name="20% - Accent3 2" xfId="96" xr:uid="{E19F8710-9D52-4665-8AED-5BF7684DFD56}"/>
    <cellStyle name="20% - Accent4" xfId="60" builtinId="42" customBuiltin="1"/>
    <cellStyle name="20% - Accent4 2" xfId="99" xr:uid="{E5AF193A-CB50-402E-A0C2-CC80C59EA4D6}"/>
    <cellStyle name="20% - Accent5" xfId="64" builtinId="46" customBuiltin="1"/>
    <cellStyle name="20% - Accent5 2" xfId="102" xr:uid="{C92ACB13-9A05-48B8-B120-835EC7F6C804}"/>
    <cellStyle name="20% - Accent6" xfId="68" builtinId="50" customBuiltin="1"/>
    <cellStyle name="20% - Accent6 2" xfId="105" xr:uid="{B0624D15-3144-4190-9CB0-74F7FA08B1A8}"/>
    <cellStyle name="40% - Accent1" xfId="49" builtinId="31" customBuiltin="1"/>
    <cellStyle name="40% - Accent1 2" xfId="91" xr:uid="{5AB94F80-912C-4659-9A47-536C59885680}"/>
    <cellStyle name="40% - Accent2" xfId="53" builtinId="35" customBuiltin="1"/>
    <cellStyle name="40% - Accent2 2" xfId="94" xr:uid="{ABB283E2-F47F-4C09-8FF3-4A8A7E0023E5}"/>
    <cellStyle name="40% - Accent3" xfId="57" builtinId="39" customBuiltin="1"/>
    <cellStyle name="40% - Accent3 2" xfId="97" xr:uid="{38C592FA-2C21-41A6-B8D3-B8B5EF0DEC23}"/>
    <cellStyle name="40% - Accent4" xfId="61" builtinId="43" customBuiltin="1"/>
    <cellStyle name="40% - Accent4 2" xfId="100" xr:uid="{1855D003-B5C9-43AD-B379-A7921FCE71EB}"/>
    <cellStyle name="40% - Accent5" xfId="65" builtinId="47" customBuiltin="1"/>
    <cellStyle name="40% - Accent5 2" xfId="103" xr:uid="{77EF6207-5E25-482A-B8DA-95C3A3CCF6A8}"/>
    <cellStyle name="40% - Accent6" xfId="69" builtinId="51" customBuiltin="1"/>
    <cellStyle name="40% - Accent6 2" xfId="106" xr:uid="{6E368AC8-9616-48B3-8B90-FA2A7D6B367D}"/>
    <cellStyle name="60% - Accent1" xfId="50" builtinId="32" customBuiltin="1"/>
    <cellStyle name="60% - Accent1 2" xfId="92" xr:uid="{493B4B8D-2EEF-45FF-A1CC-2F4EC406A680}"/>
    <cellStyle name="60% - Accent2" xfId="54" builtinId="36" customBuiltin="1"/>
    <cellStyle name="60% - Accent2 2" xfId="95" xr:uid="{7A726DD3-5209-41A5-AB45-00D6DDA2F6C1}"/>
    <cellStyle name="60% - Accent3" xfId="58" builtinId="40" customBuiltin="1"/>
    <cellStyle name="60% - Accent3 2" xfId="98" xr:uid="{85E9E363-D310-41A5-8403-8C7E9202F4CB}"/>
    <cellStyle name="60% - Accent4" xfId="62" builtinId="44" customBuiltin="1"/>
    <cellStyle name="60% - Accent4 2" xfId="101" xr:uid="{574D7394-F9F3-4A41-99DC-1248D1E35C00}"/>
    <cellStyle name="60% - Accent5" xfId="66" builtinId="48" customBuiltin="1"/>
    <cellStyle name="60% - Accent5 2" xfId="104" xr:uid="{239F3E78-4E62-4894-8559-974FA58725D1}"/>
    <cellStyle name="60% - Accent6" xfId="70" builtinId="52" customBuiltin="1"/>
    <cellStyle name="60% - Accent6 2" xfId="107" xr:uid="{C3D9A69F-0A08-44F0-B7F7-35B2904C669D}"/>
    <cellStyle name="Accent1" xfId="47" builtinId="29" customBuiltin="1"/>
    <cellStyle name="Accent2" xfId="51" builtinId="33" customBuiltin="1"/>
    <cellStyle name="Accent3" xfId="55" builtinId="37" customBuiltin="1"/>
    <cellStyle name="Accent4" xfId="59" builtinId="41" customBuiltin="1"/>
    <cellStyle name="Accent5" xfId="63" builtinId="45" customBuiltin="1"/>
    <cellStyle name="Accent6" xfId="67" builtinId="49" customBuiltin="1"/>
    <cellStyle name="Bad" xfId="37" builtinId="27" customBuiltin="1"/>
    <cellStyle name="Calculation" xfId="41" builtinId="22" customBuiltin="1"/>
    <cellStyle name="Centered Heading" xfId="9" xr:uid="{00000000-0005-0000-0000-000000000000}"/>
    <cellStyle name="Check Cell" xfId="43" builtinId="23" customBuiltin="1"/>
    <cellStyle name="Comma 2" xfId="15" xr:uid="{045B9ABE-1210-464C-884E-9990CAF5456E}"/>
    <cellStyle name="Comma 2 2" xfId="18" xr:uid="{027BBBAB-D4AF-4B34-BC9C-49D78BDCED15}"/>
    <cellStyle name="Comma 2 2 2" xfId="82" xr:uid="{908563A9-41FD-4931-9227-230FBABDD4F5}"/>
    <cellStyle name="Comma 2 2 3" xfId="115" xr:uid="{05CFB6B8-9991-4634-B72B-07F1ABE393EC}"/>
    <cellStyle name="Comma 2 3" xfId="22" xr:uid="{8F1D364F-E0AE-4E1D-A836-D5A008AAA21F}"/>
    <cellStyle name="Comma 2 3 2" xfId="119" xr:uid="{7AB46BEE-186F-4AC4-A451-041FE6148E2E}"/>
    <cellStyle name="Comma 2 4" xfId="73" xr:uid="{91CC81D7-990A-4910-88A5-6491FFE61843}"/>
    <cellStyle name="Comma 2 5" xfId="112" xr:uid="{275A58C8-A1F5-4D3C-8F9A-4EA8456F66E9}"/>
    <cellStyle name="Comma 2 6" xfId="137" xr:uid="{44D99EB8-3D94-4D47-A486-C43EB3E36B69}"/>
    <cellStyle name="Comma 3" xfId="25" xr:uid="{D2F60275-5747-42F2-A87F-D760194B4A37}"/>
    <cellStyle name="Comma 3 2" xfId="77" xr:uid="{89D19ADF-BB81-45CE-96CD-A04A15F6E43A}"/>
    <cellStyle name="Comma 4" xfId="26" xr:uid="{A1F9D59B-5EA3-4FF7-BC4D-0F5B8C6FC4F3}"/>
    <cellStyle name="Comma 4 2" xfId="79" xr:uid="{6E11C7FF-B2E4-425F-B3F9-473FE5F926F8}"/>
    <cellStyle name="Comma 4 2 2" xfId="130" xr:uid="{06A351CC-BCEA-4C13-84B6-E16F0D7084A3}"/>
    <cellStyle name="Comma 4 3" xfId="122" xr:uid="{427370E0-BC59-49F0-B978-58CDC448D1B3}"/>
    <cellStyle name="Comma 5" xfId="75" xr:uid="{DE9983C7-F8A0-47C0-8F79-782B6AE87EAB}"/>
    <cellStyle name="Comma 5 2" xfId="128" xr:uid="{3D332AF9-E081-4BBA-8E59-C81F80B8F33B}"/>
    <cellStyle name="Comma 6" xfId="86" xr:uid="{18348220-9224-4F64-A46C-8AC3751C0DD3}"/>
    <cellStyle name="Comma 6 2" xfId="134" xr:uid="{258A0BE9-DDE5-4E09-A095-E170302BC7FD}"/>
    <cellStyle name="Comma 7" xfId="108" xr:uid="{DDCF0F59-6ED2-465F-9D34-A71F14EC57F0}"/>
    <cellStyle name="Company Name" xfId="6" xr:uid="{00000000-0005-0000-0000-000003000000}"/>
    <cellStyle name="Currency" xfId="1" builtinId="4"/>
    <cellStyle name="Currency 2" xfId="5" xr:uid="{00000000-0005-0000-0000-000005000000}"/>
    <cellStyle name="Currency 3" xfId="16" xr:uid="{17540499-F5BA-421E-A381-927F3AB9DB39}"/>
    <cellStyle name="Currency 3 2" xfId="19" xr:uid="{160251AF-4548-4190-A090-CADE1B6965F7}"/>
    <cellStyle name="Currency 3 2 2" xfId="116" xr:uid="{0DCA533D-D03E-4517-8173-3265E3B89F60}"/>
    <cellStyle name="Currency 3 3" xfId="23" xr:uid="{5C990593-2D44-46D9-ACB1-ABA5F6F6E15F}"/>
    <cellStyle name="Currency 3 3 2" xfId="120" xr:uid="{C55ACD26-425F-4E4C-992A-887E391E3B18}"/>
    <cellStyle name="Currency 3 4" xfId="81" xr:uid="{08F6876F-CB6A-467A-AAAE-23BA7FEC822D}"/>
    <cellStyle name="Currency 3 4 2" xfId="132" xr:uid="{0F8C7C63-9198-4674-89BB-4BB4EA4CBF9C}"/>
    <cellStyle name="Currency 3 5" xfId="113" xr:uid="{A1FA6143-0106-4457-9BB4-6258C8C83946}"/>
    <cellStyle name="Explanatory Text" xfId="45" builtinId="53" customBuiltin="1"/>
    <cellStyle name="Good" xfId="36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eading No Underline" xfId="7" xr:uid="{00000000-0005-0000-0000-000006000000}"/>
    <cellStyle name="Heading With Underline" xfId="8" xr:uid="{00000000-0005-0000-0000-000007000000}"/>
    <cellStyle name="Input" xfId="39" builtinId="20" customBuiltin="1"/>
    <cellStyle name="Linked Cell" xfId="42" builtinId="24" customBuiltin="1"/>
    <cellStyle name="Neutral" xfId="38" builtinId="28" customBuiltin="1"/>
    <cellStyle name="Normal" xfId="0" builtinId="0"/>
    <cellStyle name="Normal 2" xfId="2" xr:uid="{00000000-0005-0000-0000-000009000000}"/>
    <cellStyle name="Normal 2 2" xfId="10" xr:uid="{FB1EB6D2-FE24-41CF-9653-7C10CCEC7A34}"/>
    <cellStyle name="Normal 2 3" xfId="27" xr:uid="{5FBDA3F0-B620-4EB2-9E43-4BC747B48631}"/>
    <cellStyle name="Normal 2 3 2" xfId="84" xr:uid="{FD97AB8A-013E-4B29-AC8A-24DF669EB207}"/>
    <cellStyle name="Normal 2 4" xfId="135" xr:uid="{3EAAF51A-DB23-482C-B936-45D716E4A290}"/>
    <cellStyle name="Normal 3" xfId="4" xr:uid="{00000000-0005-0000-0000-00000A000000}"/>
    <cellStyle name="Normal 3 2" xfId="11" xr:uid="{1DD026A3-E86D-45C0-8535-D35C64E3EDFD}"/>
    <cellStyle name="Normal 4" xfId="13" xr:uid="{FBEB6E72-EF55-4472-B4A5-2B325983A302}"/>
    <cellStyle name="Normal 4 2" xfId="17" xr:uid="{DCC49B3C-31B7-4212-BDF3-80D84B82BE25}"/>
    <cellStyle name="Normal 4 2 2" xfId="114" xr:uid="{0A8EA4D5-2CE3-4818-BCCD-A450625032C5}"/>
    <cellStyle name="Normal 4 3" xfId="21" xr:uid="{E10DB31B-9A12-46F0-9638-2A27889C7409}"/>
    <cellStyle name="Normal 4 3 2" xfId="118" xr:uid="{4AE970BD-250C-4873-A013-AF7342931340}"/>
    <cellStyle name="Normal 4 4" xfId="110" xr:uid="{88018DF5-7F4C-4B8B-B9C1-CFD40D8DC81A}"/>
    <cellStyle name="Normal 5" xfId="12" xr:uid="{77577E17-6A17-4AC3-B6D3-2546BD88A85D}"/>
    <cellStyle name="Normal 6" xfId="29" xr:uid="{E4F93C11-0B40-43A3-956B-D6FE151CC6FD}"/>
    <cellStyle name="Normal 6 2" xfId="124" xr:uid="{CE12891D-2981-4998-B028-D2E08D140B4B}"/>
    <cellStyle name="Normal 7" xfId="71" xr:uid="{9B646624-80BF-4645-9615-D34B3F934C1E}"/>
    <cellStyle name="Normal 7 2" xfId="126" xr:uid="{4B8B478C-9833-49EB-8DA6-DBA47F0ABB4D}"/>
    <cellStyle name="Normal 8" xfId="85" xr:uid="{29239B2B-E7D4-40D0-8F37-27C0751C27B3}"/>
    <cellStyle name="Normal 8 2" xfId="133" xr:uid="{4524B8CC-3FEB-442B-989E-92C8F6ACA410}"/>
    <cellStyle name="Normal 9" xfId="88" xr:uid="{D4A8FB31-A245-44AD-9100-9BF8CA3CC689}"/>
    <cellStyle name="Note 2" xfId="72" xr:uid="{5C462530-B99C-452D-BB54-6627EE5CDC37}"/>
    <cellStyle name="Note 2 2" xfId="127" xr:uid="{D872EDFE-C55C-4015-9F64-8D57922F4E17}"/>
    <cellStyle name="Note 3" xfId="89" xr:uid="{9A480B33-6A2C-4BB6-95D3-6D2F66BB9C01}"/>
    <cellStyle name="Output" xfId="40" builtinId="21" customBuiltin="1"/>
    <cellStyle name="Percent" xfId="3" builtinId="5"/>
    <cellStyle name="Percent 2" xfId="14" xr:uid="{E01F01A1-D902-47CF-934B-2CE8DE48BECD}"/>
    <cellStyle name="Percent 2 2" xfId="20" xr:uid="{32AECC71-3AA8-428D-B12B-63E255FFA3A5}"/>
    <cellStyle name="Percent 2 2 2" xfId="83" xr:uid="{3580AAAB-3E0F-4D56-9694-F87151F7EC6A}"/>
    <cellStyle name="Percent 2 2 3" xfId="117" xr:uid="{E6537DCB-7219-4C68-8204-CF331CF478F7}"/>
    <cellStyle name="Percent 2 3" xfId="24" xr:uid="{5BDBC692-B7FD-4568-8418-B56DAE9B9E14}"/>
    <cellStyle name="Percent 2 3 2" xfId="121" xr:uid="{7184E012-8F05-4A88-9CDE-C05842B4E9C3}"/>
    <cellStyle name="Percent 2 4" xfId="30" xr:uid="{309268E4-9388-44C0-B4A9-C62FEA0CAED2}"/>
    <cellStyle name="Percent 2 4 2" xfId="125" xr:uid="{DAE761F6-A632-4ED8-BA47-CC9F69024C2B}"/>
    <cellStyle name="Percent 2 5" xfId="74" xr:uid="{AF1B878B-02EA-4E43-9E57-5570427AD416}"/>
    <cellStyle name="Percent 2 6" xfId="111" xr:uid="{D375540B-57B2-4860-A878-B64434F06541}"/>
    <cellStyle name="Percent 2 7" xfId="136" xr:uid="{9B0DC44B-862F-4D4C-822E-2FBD07AE5020}"/>
    <cellStyle name="Percent 3" xfId="28" xr:uid="{3D26B024-D31F-4BF8-8D52-224FC83DA2A9}"/>
    <cellStyle name="Percent 3 2" xfId="78" xr:uid="{9B4952D1-B567-4141-920B-6D45093ADD96}"/>
    <cellStyle name="Percent 3 3" xfId="123" xr:uid="{676D18C4-4889-42C5-9C20-986C29B6E74A}"/>
    <cellStyle name="Percent 4" xfId="80" xr:uid="{86B808C5-1C70-4D83-A6DF-37BFC8954F83}"/>
    <cellStyle name="Percent 4 2" xfId="131" xr:uid="{6B7217CB-F525-4D8C-A506-E81A8C52A7BD}"/>
    <cellStyle name="Percent 5" xfId="76" xr:uid="{530111FE-BB38-4994-A91B-C3949E32933F}"/>
    <cellStyle name="Percent 5 2" xfId="129" xr:uid="{4A151199-F141-4C49-9E6E-54E928502478}"/>
    <cellStyle name="Percent 6" xfId="109" xr:uid="{2921CCA0-4916-4958-9F60-76DB23A79B4B}"/>
    <cellStyle name="prh_word_wrap_style" xfId="87" xr:uid="{6100409A-4C59-4D5D-81DD-1DEB2600A0DC}"/>
    <cellStyle name="Title" xfId="31" builtinId="15" customBuiltin="1"/>
    <cellStyle name="Total" xfId="46" builtinId="25" customBuiltin="1"/>
    <cellStyle name="Warning Text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CManko%20UDrive%20Files\FY24%20Financials\FY24%20UUA%20Chargebacks%20&amp;%20UUCEF%20Distributions\FY24%20Beacon%20Cost%20Allocation%20(from%20Andrew)_02.27.2023.xlsx" TargetMode="External"/><Relationship Id="rId1" Type="http://schemas.openxmlformats.org/officeDocument/2006/relationships/externalLinkPath" Target="file:///U:\CManko%20UDrive%20Files\FY24%20Financials\FY24%20UUA%20Chargebacks%20&amp;%20UUCEF%20Distributions\FY24%20Beacon%20Cost%20Allocation%20(from%20Andrew)_02.27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P - FY24 BUDGET"/>
      <sheetName val="BP - FY23 BUDGET"/>
      <sheetName val="  BP - FY22 CLOSE"/>
      <sheetName val="BP - FY21"/>
      <sheetName val="BP - FY17"/>
      <sheetName val="Facilities"/>
      <sheetName val="ITS (orig)"/>
      <sheetName val="ITS (updated)"/>
      <sheetName val="Rates"/>
      <sheetName val="FY24 Summary"/>
      <sheetName val="BP - Office space option"/>
      <sheetName val="HR History"/>
    </sheetNames>
    <sheetDataSet>
      <sheetData sheetId="0"/>
      <sheetData sheetId="1"/>
      <sheetData sheetId="2"/>
      <sheetData sheetId="3"/>
      <sheetData sheetId="4"/>
      <sheetData sheetId="5">
        <row r="37">
          <cell r="I37">
            <v>2174952.2300000004</v>
          </cell>
        </row>
      </sheetData>
      <sheetData sheetId="6"/>
      <sheetData sheetId="7">
        <row r="21">
          <cell r="C21">
            <v>107460.38181818182</v>
          </cell>
        </row>
      </sheetData>
      <sheetData sheetId="8">
        <row r="26">
          <cell r="E26">
            <v>185719.47200000001</v>
          </cell>
        </row>
        <row r="30">
          <cell r="E30">
            <v>104729.027</v>
          </cell>
        </row>
      </sheetData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81"/>
  <sheetViews>
    <sheetView tabSelected="1" zoomScaleNormal="100" workbookViewId="0">
      <pane xSplit="2" ySplit="8" topLeftCell="C14" activePane="bottomRight" state="frozen"/>
      <selection activeCell="G81" sqref="G81"/>
      <selection pane="topRight" activeCell="G81" sqref="G81"/>
      <selection pane="bottomLeft" activeCell="G81" sqref="G81"/>
      <selection pane="bottomRight" activeCell="I23" sqref="I23"/>
    </sheetView>
  </sheetViews>
  <sheetFormatPr defaultColWidth="8.7265625" defaultRowHeight="13" x14ac:dyDescent="0.3"/>
  <cols>
    <col min="1" max="1" width="7.26953125" style="1" customWidth="1"/>
    <col min="2" max="2" width="38.54296875" style="1" customWidth="1"/>
    <col min="3" max="5" width="13.26953125" style="1" customWidth="1"/>
    <col min="6" max="7" width="13.54296875" style="1" customWidth="1"/>
    <col min="8" max="8" width="3.26953125" style="1" customWidth="1"/>
    <col min="9" max="16384" width="8.7265625" style="1"/>
  </cols>
  <sheetData>
    <row r="1" spans="1:9" x14ac:dyDescent="0.3">
      <c r="A1" s="132" t="s">
        <v>3</v>
      </c>
      <c r="B1" s="132"/>
    </row>
    <row r="2" spans="1:9" x14ac:dyDescent="0.3">
      <c r="A2" s="46" t="s">
        <v>108</v>
      </c>
      <c r="B2" s="45"/>
    </row>
    <row r="3" spans="1:9" ht="15.5" x14ac:dyDescent="0.35">
      <c r="A3" s="6"/>
      <c r="B3" s="6"/>
      <c r="C3" s="2"/>
      <c r="D3" s="2"/>
      <c r="E3" s="2"/>
    </row>
    <row r="5" spans="1:9" x14ac:dyDescent="0.3">
      <c r="C5" s="34"/>
      <c r="D5" s="34"/>
      <c r="E5" s="40"/>
      <c r="F5" s="41"/>
      <c r="G5" s="41"/>
    </row>
    <row r="6" spans="1:9" x14ac:dyDescent="0.3">
      <c r="C6" s="39"/>
      <c r="D6" s="39"/>
      <c r="E6" s="47"/>
      <c r="F6" s="13"/>
      <c r="G6" s="13"/>
    </row>
    <row r="7" spans="1:9" x14ac:dyDescent="0.3">
      <c r="C7" s="33" t="s">
        <v>48</v>
      </c>
      <c r="D7" s="33" t="s">
        <v>105</v>
      </c>
      <c r="E7" s="33" t="s">
        <v>105</v>
      </c>
      <c r="F7" s="18" t="s">
        <v>107</v>
      </c>
      <c r="G7" s="18" t="s">
        <v>129</v>
      </c>
    </row>
    <row r="8" spans="1:9" x14ac:dyDescent="0.3">
      <c r="C8" s="14" t="s">
        <v>27</v>
      </c>
      <c r="D8" s="44" t="s">
        <v>39</v>
      </c>
      <c r="E8" s="48" t="s">
        <v>106</v>
      </c>
      <c r="F8" s="14" t="s">
        <v>39</v>
      </c>
      <c r="G8" s="14" t="s">
        <v>39</v>
      </c>
    </row>
    <row r="9" spans="1:9" x14ac:dyDescent="0.3">
      <c r="A9" s="1" t="s">
        <v>4</v>
      </c>
      <c r="C9" s="17"/>
      <c r="D9" s="17"/>
      <c r="F9" s="15"/>
      <c r="G9" s="15"/>
    </row>
    <row r="10" spans="1:9" x14ac:dyDescent="0.3">
      <c r="B10" s="1" t="s">
        <v>2</v>
      </c>
      <c r="C10" s="11">
        <v>1812498</v>
      </c>
      <c r="D10" s="11">
        <v>2825971</v>
      </c>
      <c r="E10" s="32">
        <v>2551994.5699999998</v>
      </c>
      <c r="F10" s="23">
        <v>2635374</v>
      </c>
      <c r="G10" s="23">
        <v>2800000</v>
      </c>
      <c r="I10" s="131"/>
    </row>
    <row r="11" spans="1:9" x14ac:dyDescent="0.3">
      <c r="B11" s="1" t="s">
        <v>22</v>
      </c>
      <c r="C11" s="11">
        <v>659218.41</v>
      </c>
      <c r="D11" s="11">
        <v>625000</v>
      </c>
      <c r="E11" s="32">
        <v>694586.57999999984</v>
      </c>
      <c r="F11" s="23">
        <v>722370.04319999984</v>
      </c>
      <c r="G11" s="23">
        <v>736817.44406399981</v>
      </c>
      <c r="I11" s="131"/>
    </row>
    <row r="12" spans="1:9" x14ac:dyDescent="0.3">
      <c r="B12" s="1" t="s">
        <v>1</v>
      </c>
      <c r="C12" s="11">
        <v>1054877.8</v>
      </c>
      <c r="D12" s="11">
        <v>1100000</v>
      </c>
      <c r="E12" s="32">
        <v>1016088.6525480658</v>
      </c>
      <c r="F12" s="23">
        <v>1041490.8688617673</v>
      </c>
      <c r="G12" s="23">
        <v>1051905.7775503851</v>
      </c>
      <c r="I12" s="131"/>
    </row>
    <row r="13" spans="1:9" ht="16" x14ac:dyDescent="0.6">
      <c r="B13" s="1" t="s">
        <v>35</v>
      </c>
      <c r="C13" s="19">
        <v>5974933.96</v>
      </c>
      <c r="D13" s="19">
        <v>6515000</v>
      </c>
      <c r="E13" s="43">
        <v>5937193.9000000022</v>
      </c>
      <c r="F13" s="19">
        <v>6055937.7780000027</v>
      </c>
      <c r="G13" s="19">
        <v>6298175.2891200026</v>
      </c>
      <c r="I13" s="131"/>
    </row>
    <row r="14" spans="1:9" x14ac:dyDescent="0.3">
      <c r="A14" s="1" t="s">
        <v>17</v>
      </c>
      <c r="C14" s="11">
        <f>SUM(C10:C13)</f>
        <v>9501528.1699999999</v>
      </c>
      <c r="D14" s="11">
        <f>SUM(D10:D13)</f>
        <v>11065971</v>
      </c>
      <c r="E14" s="32">
        <f>SUM(E10:E13)</f>
        <v>10199863.702548068</v>
      </c>
      <c r="F14" s="23">
        <f>SUM(F10:F13)</f>
        <v>10455172.69006177</v>
      </c>
      <c r="G14" s="23">
        <f>SUM(G10:G13)</f>
        <v>10886898.510734387</v>
      </c>
      <c r="I14" s="131"/>
    </row>
    <row r="15" spans="1:9" x14ac:dyDescent="0.3">
      <c r="C15" s="11"/>
      <c r="D15" s="11"/>
      <c r="E15" s="32"/>
      <c r="F15" s="23"/>
      <c r="G15" s="23"/>
    </row>
    <row r="16" spans="1:9" x14ac:dyDescent="0.3">
      <c r="A16" s="1" t="s">
        <v>24</v>
      </c>
      <c r="C16" s="23">
        <v>112716</v>
      </c>
      <c r="D16" s="11">
        <v>0</v>
      </c>
      <c r="E16" s="32">
        <v>0</v>
      </c>
      <c r="F16" s="23">
        <v>0</v>
      </c>
      <c r="G16" s="23">
        <v>0</v>
      </c>
    </row>
    <row r="17" spans="1:9" ht="16" x14ac:dyDescent="0.6">
      <c r="A17" s="1" t="s">
        <v>5</v>
      </c>
      <c r="C17" s="12">
        <v>-1154938.0699999998</v>
      </c>
      <c r="D17" s="12">
        <v>-1307735.8700000001</v>
      </c>
      <c r="E17" s="26">
        <v>-990064.00000000012</v>
      </c>
      <c r="F17" s="25">
        <v>-1054957.4133600004</v>
      </c>
      <c r="G17" s="25">
        <v>-1091781.0346944004</v>
      </c>
    </row>
    <row r="18" spans="1:9" x14ac:dyDescent="0.3">
      <c r="A18" s="7"/>
      <c r="B18" s="7"/>
      <c r="C18" s="11"/>
      <c r="D18" s="11"/>
      <c r="E18" s="32"/>
      <c r="F18" s="23"/>
      <c r="G18" s="23"/>
    </row>
    <row r="19" spans="1:9" x14ac:dyDescent="0.3">
      <c r="A19" s="1" t="s">
        <v>6</v>
      </c>
      <c r="C19" s="11">
        <f>C14+C17+C16</f>
        <v>8459306.0999999996</v>
      </c>
      <c r="D19" s="11">
        <f>D14+D17</f>
        <v>9758235.129999999</v>
      </c>
      <c r="E19" s="32">
        <f>+E14+E16+E17</f>
        <v>9209799.702548068</v>
      </c>
      <c r="F19" s="23">
        <f>+F14+F16+F17</f>
        <v>9400215.2767017707</v>
      </c>
      <c r="G19" s="23">
        <f>+G14+G16+G17</f>
        <v>9795117.4760399871</v>
      </c>
    </row>
    <row r="20" spans="1:9" x14ac:dyDescent="0.3">
      <c r="C20" s="11"/>
      <c r="D20" s="11"/>
      <c r="E20" s="32"/>
      <c r="F20" s="23"/>
      <c r="G20" s="23"/>
    </row>
    <row r="21" spans="1:9" ht="16" x14ac:dyDescent="0.6">
      <c r="A21" s="1" t="s">
        <v>7</v>
      </c>
      <c r="C21" s="12">
        <v>137128.59333333332</v>
      </c>
      <c r="D21" s="12">
        <v>125000</v>
      </c>
      <c r="E21" s="26">
        <v>109608.13999999977</v>
      </c>
      <c r="F21" s="25">
        <v>100000</v>
      </c>
      <c r="G21" s="25">
        <v>100000</v>
      </c>
    </row>
    <row r="22" spans="1:9" x14ac:dyDescent="0.3">
      <c r="C22" s="29"/>
      <c r="D22" s="11"/>
      <c r="E22" s="32"/>
      <c r="F22" s="23"/>
      <c r="G22" s="23"/>
    </row>
    <row r="23" spans="1:9" x14ac:dyDescent="0.3">
      <c r="A23" s="8" t="s">
        <v>8</v>
      </c>
      <c r="B23" s="8"/>
      <c r="C23" s="31">
        <f>C19+C21</f>
        <v>8596434.6933333334</v>
      </c>
      <c r="D23" s="16">
        <f>D19+D21</f>
        <v>9883235.129999999</v>
      </c>
      <c r="E23" s="31">
        <f>+E19+E21</f>
        <v>9319407.8425480686</v>
      </c>
      <c r="F23" s="24">
        <f>+F19+F21</f>
        <v>9500215.2767017707</v>
      </c>
      <c r="G23" s="24">
        <f>+G19+G21</f>
        <v>9895117.4760399871</v>
      </c>
      <c r="I23" s="131"/>
    </row>
    <row r="24" spans="1:9" x14ac:dyDescent="0.3">
      <c r="A24" s="8" t="s">
        <v>31</v>
      </c>
      <c r="B24" s="8"/>
      <c r="C24" s="16">
        <f>+C23-C16</f>
        <v>8483718.6933333334</v>
      </c>
      <c r="D24" s="16">
        <f>+D23-D16</f>
        <v>9883235.129999999</v>
      </c>
      <c r="E24" s="31">
        <f>+E23-E16</f>
        <v>9319407.8425480686</v>
      </c>
      <c r="F24" s="24">
        <f>+F23-F16</f>
        <v>9500215.2767017707</v>
      </c>
      <c r="G24" s="24">
        <f>+G23-G16</f>
        <v>9895117.4760399871</v>
      </c>
    </row>
    <row r="25" spans="1:9" x14ac:dyDescent="0.3">
      <c r="C25" s="29"/>
      <c r="D25" s="29"/>
      <c r="E25" s="32"/>
      <c r="F25" s="23"/>
      <c r="G25" s="23"/>
    </row>
    <row r="26" spans="1:9" x14ac:dyDescent="0.3">
      <c r="A26" s="1" t="s">
        <v>9</v>
      </c>
      <c r="C26" s="28"/>
      <c r="D26" s="28"/>
      <c r="E26" s="28"/>
      <c r="F26" s="23"/>
      <c r="G26" s="23"/>
    </row>
    <row r="27" spans="1:9" x14ac:dyDescent="0.3">
      <c r="B27" s="1" t="s">
        <v>10</v>
      </c>
      <c r="C27" s="29">
        <v>1370493.9100000001</v>
      </c>
      <c r="D27" s="11">
        <v>1629148.9591637268</v>
      </c>
      <c r="E27" s="23">
        <v>1601090.1971769999</v>
      </c>
      <c r="F27" s="23">
        <v>1624634.4165744004</v>
      </c>
      <c r="G27" s="23">
        <v>1702342.7934293766</v>
      </c>
    </row>
    <row r="28" spans="1:9" x14ac:dyDescent="0.3">
      <c r="B28" s="1" t="s">
        <v>25</v>
      </c>
      <c r="C28" s="29">
        <v>106698</v>
      </c>
      <c r="D28" s="11">
        <v>125000</v>
      </c>
      <c r="E28" s="23">
        <v>114537</v>
      </c>
      <c r="F28" s="23">
        <v>120000</v>
      </c>
      <c r="G28" s="23">
        <v>125000</v>
      </c>
    </row>
    <row r="29" spans="1:9" x14ac:dyDescent="0.3">
      <c r="B29" s="1" t="s">
        <v>11</v>
      </c>
      <c r="C29" s="29">
        <v>713730.57000000007</v>
      </c>
      <c r="D29" s="11">
        <v>450000</v>
      </c>
      <c r="E29" s="23">
        <v>462694</v>
      </c>
      <c r="F29" s="23">
        <v>400000</v>
      </c>
      <c r="G29" s="23">
        <v>400000</v>
      </c>
    </row>
    <row r="30" spans="1:9" x14ac:dyDescent="0.3">
      <c r="B30" s="1" t="s">
        <v>12</v>
      </c>
      <c r="C30" s="29">
        <v>1631209.52</v>
      </c>
      <c r="D30" s="11">
        <v>1838780.41</v>
      </c>
      <c r="E30" s="23">
        <v>1766369.1662757131</v>
      </c>
      <c r="F30" s="23">
        <v>1795237.8886995115</v>
      </c>
      <c r="G30" s="23">
        <v>1884185.7932590777</v>
      </c>
    </row>
    <row r="31" spans="1:9" x14ac:dyDescent="0.3">
      <c r="B31" s="1" t="s">
        <v>23</v>
      </c>
      <c r="C31" s="29">
        <v>80460</v>
      </c>
      <c r="D31" s="11">
        <v>75000</v>
      </c>
      <c r="E31" s="23">
        <v>81666</v>
      </c>
      <c r="F31" s="23">
        <v>75000</v>
      </c>
      <c r="G31" s="23">
        <v>75000</v>
      </c>
    </row>
    <row r="32" spans="1:9" ht="16" x14ac:dyDescent="0.6">
      <c r="B32" s="1" t="s">
        <v>38</v>
      </c>
      <c r="C32" s="30">
        <v>37040</v>
      </c>
      <c r="D32" s="25">
        <v>0</v>
      </c>
      <c r="E32" s="25">
        <v>0</v>
      </c>
      <c r="F32" s="25">
        <v>0</v>
      </c>
      <c r="G32" s="25">
        <v>0</v>
      </c>
    </row>
    <row r="33" spans="1:7" x14ac:dyDescent="0.3">
      <c r="C33" s="2"/>
      <c r="D33" s="17"/>
      <c r="E33" s="17"/>
      <c r="F33" s="17"/>
      <c r="G33" s="17"/>
    </row>
    <row r="34" spans="1:7" x14ac:dyDescent="0.3">
      <c r="A34" s="1" t="s">
        <v>13</v>
      </c>
      <c r="C34" s="11">
        <f>SUM(C27:C32)</f>
        <v>3939632.0000000005</v>
      </c>
      <c r="D34" s="23">
        <f>SUM(D27:D32)</f>
        <v>4117929.3691637265</v>
      </c>
      <c r="E34" s="23">
        <f>SUM(E27:E32)</f>
        <v>4026356.363452713</v>
      </c>
      <c r="F34" s="23">
        <f>SUM(F27:F32)</f>
        <v>4014872.3052739119</v>
      </c>
      <c r="G34" s="23">
        <f>SUM(G27:G32)</f>
        <v>4186528.5866884543</v>
      </c>
    </row>
    <row r="35" spans="1:7" x14ac:dyDescent="0.3">
      <c r="C35" s="29"/>
      <c r="D35" s="23"/>
      <c r="E35" s="23"/>
      <c r="F35" s="23"/>
      <c r="G35" s="23"/>
    </row>
    <row r="36" spans="1:7" ht="16" x14ac:dyDescent="0.6">
      <c r="B36" s="1" t="s">
        <v>36</v>
      </c>
      <c r="C36" s="30">
        <v>1683485.6</v>
      </c>
      <c r="D36" s="25">
        <v>1936457.2590208997</v>
      </c>
      <c r="E36" s="25">
        <v>1853827.1581593817</v>
      </c>
      <c r="F36" s="25">
        <v>1892155.6315359508</v>
      </c>
      <c r="G36" s="25">
        <v>1854023.4952079975</v>
      </c>
    </row>
    <row r="37" spans="1:7" x14ac:dyDescent="0.3">
      <c r="C37" s="29"/>
      <c r="D37" s="23"/>
      <c r="E37" s="23"/>
      <c r="F37" s="23"/>
      <c r="G37" s="23"/>
    </row>
    <row r="38" spans="1:7" x14ac:dyDescent="0.3">
      <c r="A38" s="1" t="s">
        <v>14</v>
      </c>
      <c r="C38" s="11">
        <f>+C23-C34-C36</f>
        <v>2973317.0933333333</v>
      </c>
      <c r="D38" s="23">
        <f>D23-D34-D36</f>
        <v>3828848.5018153731</v>
      </c>
      <c r="E38" s="23">
        <f>+E23-E34-E36</f>
        <v>3439224.3209359739</v>
      </c>
      <c r="F38" s="23">
        <f>+F23-F34-F36</f>
        <v>3593187.3398919078</v>
      </c>
      <c r="G38" s="23">
        <f>+G23-G34-G36</f>
        <v>3854565.3941435353</v>
      </c>
    </row>
    <row r="39" spans="1:7" x14ac:dyDescent="0.3">
      <c r="C39" s="29"/>
      <c r="D39" s="23"/>
      <c r="E39" s="23"/>
      <c r="F39" s="23"/>
      <c r="G39" s="23"/>
    </row>
    <row r="40" spans="1:7" ht="16" x14ac:dyDescent="0.6">
      <c r="A40" s="1" t="s">
        <v>15</v>
      </c>
      <c r="C40" s="30">
        <v>678102.28</v>
      </c>
      <c r="D40" s="25">
        <v>600000</v>
      </c>
      <c r="E40" s="25">
        <v>840133.1894272957</v>
      </c>
      <c r="F40" s="25">
        <v>700000</v>
      </c>
      <c r="G40" s="25">
        <v>750000</v>
      </c>
    </row>
    <row r="41" spans="1:7" x14ac:dyDescent="0.3">
      <c r="C41" s="29"/>
      <c r="D41" s="11"/>
      <c r="E41" s="23"/>
      <c r="F41" s="23"/>
      <c r="G41" s="23"/>
    </row>
    <row r="42" spans="1:7" x14ac:dyDescent="0.3">
      <c r="A42" s="8" t="s">
        <v>16</v>
      </c>
      <c r="B42" s="8"/>
      <c r="C42" s="31">
        <f>+C38+C40</f>
        <v>3651419.3733333331</v>
      </c>
      <c r="D42" s="16">
        <f>D38+D40</f>
        <v>4428848.5018153731</v>
      </c>
      <c r="E42" s="24">
        <f>+E38+E40</f>
        <v>4279357.5103632696</v>
      </c>
      <c r="F42" s="24">
        <f>+F38+F40</f>
        <v>4293187.3398919078</v>
      </c>
      <c r="G42" s="24">
        <f>+G38+G40</f>
        <v>4604565.3941435348</v>
      </c>
    </row>
    <row r="43" spans="1:7" x14ac:dyDescent="0.3">
      <c r="C43" s="42">
        <f>C42/C24</f>
        <v>0.43040316461726713</v>
      </c>
      <c r="D43" s="42">
        <f>D42/D24</f>
        <v>0.4481172858441721</v>
      </c>
      <c r="E43" s="42">
        <f>E42/E24</f>
        <v>0.45918770620014282</v>
      </c>
      <c r="F43" s="42">
        <f>F42/F24</f>
        <v>0.45190421636238876</v>
      </c>
      <c r="G43" s="42">
        <f>G42/G24</f>
        <v>0.4653371124994744</v>
      </c>
    </row>
    <row r="44" spans="1:7" x14ac:dyDescent="0.3">
      <c r="A44" s="1" t="s">
        <v>28</v>
      </c>
      <c r="C44" s="28"/>
      <c r="D44" s="28"/>
      <c r="E44" s="28"/>
      <c r="F44" s="23"/>
      <c r="G44" s="23"/>
    </row>
    <row r="45" spans="1:7" x14ac:dyDescent="0.3">
      <c r="B45" s="1" t="s">
        <v>18</v>
      </c>
      <c r="C45" s="29">
        <v>1032204</v>
      </c>
      <c r="D45" s="29">
        <v>1123249.4645483871</v>
      </c>
      <c r="E45" s="32">
        <v>1072215.9000000001</v>
      </c>
      <c r="F45" s="23">
        <v>1150510.0199999998</v>
      </c>
      <c r="G45" s="23">
        <v>1190777.8706999996</v>
      </c>
    </row>
    <row r="46" spans="1:7" x14ac:dyDescent="0.3">
      <c r="B46" s="1" t="s">
        <v>34</v>
      </c>
      <c r="C46" s="29">
        <v>621003</v>
      </c>
      <c r="D46" s="29">
        <v>671013.08091544406</v>
      </c>
      <c r="E46" s="32">
        <v>633541.42000000004</v>
      </c>
      <c r="F46" s="23">
        <v>673785.75680000009</v>
      </c>
      <c r="G46" s="23">
        <v>697368.25828800001</v>
      </c>
    </row>
    <row r="47" spans="1:7" x14ac:dyDescent="0.3">
      <c r="B47" s="1" t="s">
        <v>26</v>
      </c>
      <c r="C47" s="29">
        <v>1545658</v>
      </c>
      <c r="D47" s="29">
        <v>1651210.8351726374</v>
      </c>
      <c r="E47" s="32">
        <v>1635680.8080000002</v>
      </c>
      <c r="F47" s="23">
        <v>1713355.1568</v>
      </c>
      <c r="G47" s="23">
        <v>1698322.5872879999</v>
      </c>
    </row>
    <row r="48" spans="1:7" x14ac:dyDescent="0.3">
      <c r="B48" s="1" t="s">
        <v>19</v>
      </c>
      <c r="C48" s="29">
        <v>460314</v>
      </c>
      <c r="D48" s="29">
        <v>512362.58720986592</v>
      </c>
      <c r="E48" s="32">
        <v>491220</v>
      </c>
      <c r="F48" s="23">
        <v>516066.36240000004</v>
      </c>
      <c r="G48" s="23">
        <v>534128.685084</v>
      </c>
    </row>
    <row r="49" spans="1:7" x14ac:dyDescent="0.3">
      <c r="B49" s="1" t="s">
        <v>20</v>
      </c>
      <c r="C49" s="29">
        <v>7203</v>
      </c>
      <c r="D49" s="29">
        <v>12250.000000000002</v>
      </c>
      <c r="E49" s="32">
        <v>7144</v>
      </c>
      <c r="F49" s="23">
        <v>10000</v>
      </c>
      <c r="G49" s="23">
        <v>10350</v>
      </c>
    </row>
    <row r="50" spans="1:7" x14ac:dyDescent="0.3">
      <c r="B50" s="1" t="s">
        <v>21</v>
      </c>
      <c r="C50" s="32">
        <v>564344</v>
      </c>
      <c r="D50" s="29">
        <v>833492.45472465991</v>
      </c>
      <c r="E50" s="32">
        <v>780159.24999999988</v>
      </c>
      <c r="F50" s="23">
        <v>750893.57680000027</v>
      </c>
      <c r="G50" s="23">
        <v>788438.25564000034</v>
      </c>
    </row>
    <row r="51" spans="1:7" x14ac:dyDescent="0.3">
      <c r="B51" s="1" t="s">
        <v>33</v>
      </c>
      <c r="C51" s="29">
        <v>100722</v>
      </c>
      <c r="D51" s="29">
        <v>113500</v>
      </c>
      <c r="E51" s="32">
        <v>82654</v>
      </c>
      <c r="F51" s="23">
        <v>104500</v>
      </c>
      <c r="G51" s="23">
        <v>108157.49999999999</v>
      </c>
    </row>
    <row r="52" spans="1:7" ht="16" x14ac:dyDescent="0.6">
      <c r="B52" s="1" t="s">
        <v>43</v>
      </c>
      <c r="C52" s="26">
        <v>363277</v>
      </c>
      <c r="D52" s="30">
        <v>363277</v>
      </c>
      <c r="E52" s="26">
        <v>363276</v>
      </c>
      <c r="F52" s="25">
        <v>363757.92991781386</v>
      </c>
      <c r="G52" s="25">
        <v>363757.92991781386</v>
      </c>
    </row>
    <row r="53" spans="1:7" x14ac:dyDescent="0.3">
      <c r="B53" s="5"/>
      <c r="C53" s="11">
        <f>SUM(C45:C52)</f>
        <v>4694725</v>
      </c>
      <c r="D53" s="11">
        <f>SUM(D45:D52)</f>
        <v>5280355.4225709941</v>
      </c>
      <c r="E53" s="23">
        <f>SUM(E45:E52)</f>
        <v>5065891.3780000005</v>
      </c>
      <c r="F53" s="23">
        <f>SUM(F45:F52)</f>
        <v>5282868.8027178142</v>
      </c>
      <c r="G53" s="23">
        <f>SUM(G45:G52)</f>
        <v>5391301.0869178139</v>
      </c>
    </row>
    <row r="54" spans="1:7" x14ac:dyDescent="0.3">
      <c r="B54" s="5"/>
      <c r="C54" s="42"/>
      <c r="D54" s="42">
        <f>D53/C53-1</f>
        <v>0.12474222080547714</v>
      </c>
      <c r="E54" s="49">
        <f>E53/C53-1</f>
        <v>7.9060302360628221E-2</v>
      </c>
      <c r="F54" s="50">
        <f>F53/E53-1</f>
        <v>4.2831045620144392E-2</v>
      </c>
      <c r="G54" s="50">
        <f>G53/F53-1</f>
        <v>2.052526539069377E-2</v>
      </c>
    </row>
    <row r="55" spans="1:7" x14ac:dyDescent="0.3">
      <c r="A55" s="10" t="s">
        <v>45</v>
      </c>
      <c r="B55" s="35"/>
      <c r="C55" s="24">
        <f>+C42-C53</f>
        <v>-1043305.6266666669</v>
      </c>
      <c r="D55" s="24">
        <f>+D42-D53</f>
        <v>-851506.92075562105</v>
      </c>
      <c r="E55" s="24">
        <f>+E42-E53</f>
        <v>-786533.86763673089</v>
      </c>
      <c r="F55" s="24">
        <f>+F42-F53</f>
        <v>-989681.46282590646</v>
      </c>
      <c r="G55" s="24">
        <f>+G42-G53</f>
        <v>-786735.69277427904</v>
      </c>
    </row>
    <row r="56" spans="1:7" x14ac:dyDescent="0.3">
      <c r="B56" s="5"/>
      <c r="C56" s="29"/>
      <c r="D56" s="29"/>
      <c r="E56" s="32"/>
      <c r="F56" s="23"/>
      <c r="G56" s="23"/>
    </row>
    <row r="57" spans="1:7" ht="16" x14ac:dyDescent="0.6">
      <c r="B57" s="5" t="s">
        <v>44</v>
      </c>
      <c r="C57" s="37">
        <f>C78</f>
        <v>0</v>
      </c>
      <c r="D57" s="37">
        <f>D78</f>
        <v>0</v>
      </c>
      <c r="E57" s="37">
        <f>E78</f>
        <v>0</v>
      </c>
      <c r="F57" s="53">
        <f>F78</f>
        <v>0</v>
      </c>
      <c r="G57" s="53">
        <f>G78</f>
        <v>0</v>
      </c>
    </row>
    <row r="58" spans="1:7" x14ac:dyDescent="0.3">
      <c r="B58" s="5"/>
      <c r="C58" s="29"/>
      <c r="D58" s="29"/>
      <c r="E58" s="32"/>
      <c r="F58" s="23"/>
      <c r="G58" s="23"/>
    </row>
    <row r="59" spans="1:7" x14ac:dyDescent="0.3">
      <c r="A59" s="10" t="s">
        <v>46</v>
      </c>
      <c r="B59" s="35"/>
      <c r="C59" s="24">
        <f>+C55-C57</f>
        <v>-1043305.6266666669</v>
      </c>
      <c r="D59" s="24">
        <f>+D55-D57</f>
        <v>-851506.92075562105</v>
      </c>
      <c r="E59" s="24">
        <f>+E55-E57</f>
        <v>-786533.86763673089</v>
      </c>
      <c r="F59" s="24">
        <f>+F55-F57</f>
        <v>-989681.46282590646</v>
      </c>
      <c r="G59" s="24">
        <f>+G55-G57</f>
        <v>-786735.69277427904</v>
      </c>
    </row>
    <row r="60" spans="1:7" x14ac:dyDescent="0.3">
      <c r="B60" s="5"/>
      <c r="C60" s="29"/>
      <c r="D60" s="29"/>
      <c r="E60" s="32"/>
      <c r="F60" s="23"/>
      <c r="G60" s="23"/>
    </row>
    <row r="61" spans="1:7" ht="14.5" x14ac:dyDescent="0.35">
      <c r="A61" s="1" t="s">
        <v>42</v>
      </c>
      <c r="B61" s="5"/>
      <c r="C61" s="27"/>
      <c r="D61" s="27"/>
      <c r="E61" s="32">
        <v>15000</v>
      </c>
      <c r="F61" s="23">
        <v>0</v>
      </c>
      <c r="G61" s="23">
        <v>0</v>
      </c>
    </row>
    <row r="62" spans="1:7" ht="16" x14ac:dyDescent="0.6">
      <c r="A62" s="1" t="s">
        <v>32</v>
      </c>
      <c r="C62" s="30">
        <v>175000.33333333337</v>
      </c>
      <c r="D62" s="30">
        <v>175000</v>
      </c>
      <c r="E62" s="30">
        <v>175000</v>
      </c>
      <c r="F62" s="25">
        <v>175000</v>
      </c>
      <c r="G62" s="25">
        <v>175000</v>
      </c>
    </row>
    <row r="63" spans="1:7" x14ac:dyDescent="0.3">
      <c r="C63" s="15"/>
      <c r="D63" s="15"/>
      <c r="E63" s="15"/>
      <c r="F63" s="23"/>
      <c r="G63" s="23"/>
    </row>
    <row r="64" spans="1:7" x14ac:dyDescent="0.3">
      <c r="A64" s="8" t="s">
        <v>47</v>
      </c>
      <c r="B64" s="8"/>
      <c r="C64" s="16">
        <f>+C59+C61+C62</f>
        <v>-868305.29333333357</v>
      </c>
      <c r="D64" s="16">
        <f>+D59+D61+D62</f>
        <v>-676506.92075562105</v>
      </c>
      <c r="E64" s="24">
        <f>+E59+E61+E62</f>
        <v>-596533.86763673089</v>
      </c>
      <c r="F64" s="24">
        <f>+F59+F61+F62</f>
        <v>-814681.46282590646</v>
      </c>
      <c r="G64" s="24">
        <f>+G59+G61+G62</f>
        <v>-611735.69277427904</v>
      </c>
    </row>
    <row r="65" spans="1:7" x14ac:dyDescent="0.3">
      <c r="A65" s="9"/>
      <c r="B65" s="9"/>
      <c r="C65" s="29"/>
      <c r="D65" s="29"/>
      <c r="E65" s="32"/>
      <c r="F65" s="23"/>
      <c r="G65" s="23"/>
    </row>
    <row r="66" spans="1:7" x14ac:dyDescent="0.3">
      <c r="C66" s="15"/>
      <c r="D66" s="15"/>
      <c r="E66" s="15"/>
      <c r="F66" s="15"/>
      <c r="G66" s="15"/>
    </row>
    <row r="67" spans="1:7" x14ac:dyDescent="0.3">
      <c r="A67" s="1" t="s">
        <v>29</v>
      </c>
      <c r="C67" s="32">
        <v>1139979</v>
      </c>
      <c r="D67" s="32">
        <v>0</v>
      </c>
      <c r="E67" s="32">
        <v>500652</v>
      </c>
      <c r="F67" s="23">
        <v>0</v>
      </c>
      <c r="G67" s="23">
        <v>0</v>
      </c>
    </row>
    <row r="68" spans="1:7" ht="16" x14ac:dyDescent="0.6">
      <c r="C68" s="29"/>
      <c r="D68" s="29"/>
      <c r="E68" s="32"/>
      <c r="F68" s="25"/>
      <c r="G68" s="25"/>
    </row>
    <row r="69" spans="1:7" x14ac:dyDescent="0.3">
      <c r="A69" s="21" t="s">
        <v>30</v>
      </c>
      <c r="B69" s="21"/>
      <c r="C69" s="52">
        <f>+C64+C67</f>
        <v>271673.70666666643</v>
      </c>
      <c r="D69" s="52">
        <f>+D64+D67</f>
        <v>-676506.92075562105</v>
      </c>
      <c r="E69" s="24">
        <f>+E64+E67</f>
        <v>-95881.867636730894</v>
      </c>
      <c r="F69" s="24">
        <f>+F64+F67</f>
        <v>-814681.46282590646</v>
      </c>
      <c r="G69" s="24">
        <f>+G64+G67</f>
        <v>-611735.69277427904</v>
      </c>
    </row>
    <row r="70" spans="1:7" x14ac:dyDescent="0.3">
      <c r="C70" s="20"/>
      <c r="D70" s="20"/>
      <c r="E70" s="20"/>
      <c r="F70" s="20"/>
      <c r="G70" s="20"/>
    </row>
    <row r="72" spans="1:7" x14ac:dyDescent="0.3">
      <c r="B72" s="1" t="s">
        <v>119</v>
      </c>
      <c r="C72" s="22">
        <f>+C55</f>
        <v>-1043305.6266666669</v>
      </c>
      <c r="D72" s="22">
        <f>+D55</f>
        <v>-851506.92075562105</v>
      </c>
      <c r="E72" s="22">
        <f>+E55</f>
        <v>-786533.86763673089</v>
      </c>
      <c r="F72" s="22">
        <f>+F55</f>
        <v>-989681.46282590646</v>
      </c>
      <c r="G72" s="22">
        <f>+G55</f>
        <v>-786735.69277427904</v>
      </c>
    </row>
    <row r="73" spans="1:7" ht="14.5" x14ac:dyDescent="0.35">
      <c r="B73" s="1" t="s">
        <v>120</v>
      </c>
      <c r="C73" s="22">
        <v>545656.82047499996</v>
      </c>
      <c r="D73" s="22">
        <v>545656.82047499996</v>
      </c>
      <c r="E73" s="22">
        <v>552992</v>
      </c>
      <c r="F73" s="74">
        <v>567956.37581374985</v>
      </c>
      <c r="G73" s="74">
        <v>567956.37581374985</v>
      </c>
    </row>
    <row r="74" spans="1:7" ht="16" x14ac:dyDescent="0.6">
      <c r="B74" s="1" t="s">
        <v>121</v>
      </c>
      <c r="C74" s="36">
        <v>5000</v>
      </c>
      <c r="D74" s="36">
        <v>5000</v>
      </c>
      <c r="E74" s="36">
        <v>5000</v>
      </c>
      <c r="F74" s="36">
        <v>5000</v>
      </c>
      <c r="G74" s="36">
        <v>5000</v>
      </c>
    </row>
    <row r="75" spans="1:7" x14ac:dyDescent="0.3">
      <c r="B75" s="1" t="s">
        <v>41</v>
      </c>
      <c r="C75" s="22">
        <f>SUM(C72:C74)</f>
        <v>-492648.80619166698</v>
      </c>
      <c r="D75" s="22">
        <f>SUM(D72:D74)</f>
        <v>-300850.10028062109</v>
      </c>
      <c r="E75" s="22">
        <f>SUM(E72:E74)</f>
        <v>-228541.86763673089</v>
      </c>
      <c r="F75" s="22">
        <f>SUM(F72:F74)</f>
        <v>-416725.08701215661</v>
      </c>
      <c r="G75" s="22">
        <f>SUM(G72:G74)</f>
        <v>-213779.31696052919</v>
      </c>
    </row>
    <row r="76" spans="1:7" ht="16" x14ac:dyDescent="0.6">
      <c r="B76" s="1" t="s">
        <v>122</v>
      </c>
      <c r="C76" s="4">
        <f>C80/2</f>
        <v>330251.61053772492</v>
      </c>
      <c r="D76" s="4">
        <f>D80/2</f>
        <v>330251.61053772492</v>
      </c>
      <c r="E76" s="36">
        <f>E80/2</f>
        <v>330251.61053772492</v>
      </c>
      <c r="F76" s="36">
        <f>F80/2</f>
        <v>330689.02719801257</v>
      </c>
      <c r="G76" s="36">
        <f>G80/2</f>
        <v>330689.02719801257</v>
      </c>
    </row>
    <row r="77" spans="1:7" x14ac:dyDescent="0.3">
      <c r="B77" s="1" t="s">
        <v>123</v>
      </c>
      <c r="C77" s="3">
        <f>+C75-C76</f>
        <v>-822900.4167293919</v>
      </c>
      <c r="D77" s="3">
        <f>+D75-D76</f>
        <v>-631101.71081834601</v>
      </c>
      <c r="E77" s="22">
        <f>+E75-E76</f>
        <v>-558793.47817445581</v>
      </c>
      <c r="F77" s="22">
        <f>+F75-F76</f>
        <v>-747414.11421016918</v>
      </c>
      <c r="G77" s="22">
        <f>+G75-G76</f>
        <v>-544468.34415854176</v>
      </c>
    </row>
    <row r="78" spans="1:7" x14ac:dyDescent="0.3">
      <c r="B78" s="1" t="s">
        <v>125</v>
      </c>
      <c r="C78" s="38">
        <f>IF(C77&gt;0,C77*0.5,0)</f>
        <v>0</v>
      </c>
      <c r="D78" s="38">
        <f>IF(D77&gt;0,D77*0.5,0)</f>
        <v>0</v>
      </c>
      <c r="E78" s="38">
        <f>IF(E77&gt;0,E77*0.5,0)</f>
        <v>0</v>
      </c>
      <c r="F78" s="38">
        <f>IF(F77&gt;0,F77*0.5,0)</f>
        <v>0</v>
      </c>
      <c r="G78" s="38">
        <f>IF(G77&gt;0,G77*0.5,0)</f>
        <v>0</v>
      </c>
    </row>
    <row r="80" spans="1:7" x14ac:dyDescent="0.3">
      <c r="B80" s="1" t="s">
        <v>124</v>
      </c>
      <c r="C80" s="51">
        <v>660503.22107544984</v>
      </c>
      <c r="D80" s="51">
        <v>660503.22107544984</v>
      </c>
      <c r="E80" s="51">
        <v>660503.22107544984</v>
      </c>
      <c r="F80" s="51" cm="1">
        <f t="array" ref="F80:F81">'FY26 Occupancy Cost'!G14:G15</f>
        <v>661378.05439602514</v>
      </c>
      <c r="G80" s="51">
        <f>F80</f>
        <v>661378.05439602514</v>
      </c>
    </row>
    <row r="81" spans="6:7" x14ac:dyDescent="0.3">
      <c r="F81" s="130">
        <v>0</v>
      </c>
      <c r="G81" s="130"/>
    </row>
  </sheetData>
  <mergeCells count="1">
    <mergeCell ref="A1:B1"/>
  </mergeCells>
  <phoneticPr fontId="46" type="noConversion"/>
  <pageMargins left="0.7" right="0.7" top="0.75" bottom="0.75" header="0.3" footer="0.3"/>
  <pageSetup scale="34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D6D18-E8F7-4F41-9BCF-1E40E0AD6289}">
  <sheetPr>
    <tabColor theme="8" tint="0.39997558519241921"/>
    <pageSetUpPr fitToPage="1"/>
  </sheetPr>
  <dimension ref="A1:N39"/>
  <sheetViews>
    <sheetView topLeftCell="A2" workbookViewId="0">
      <selection activeCell="G30" sqref="G30"/>
    </sheetView>
  </sheetViews>
  <sheetFormatPr defaultColWidth="8.81640625" defaultRowHeight="14.5" x14ac:dyDescent="0.35"/>
  <cols>
    <col min="1" max="1" width="3.453125" style="54" customWidth="1"/>
    <col min="2" max="2" width="2" style="54" customWidth="1"/>
    <col min="3" max="3" width="36.81640625" style="54" customWidth="1"/>
    <col min="4" max="4" width="3.81640625" style="54" customWidth="1"/>
    <col min="5" max="5" width="12.1796875" style="54" bestFit="1" customWidth="1"/>
    <col min="6" max="6" width="12.54296875" style="54" customWidth="1"/>
    <col min="7" max="7" width="12.453125" style="54" customWidth="1"/>
    <col min="8" max="8" width="3.54296875" style="54" customWidth="1"/>
    <col min="9" max="9" width="25.6328125" style="54" customWidth="1"/>
    <col min="10" max="10" width="54.81640625" style="54" customWidth="1"/>
    <col min="11" max="11" width="8.81640625" style="54"/>
    <col min="12" max="12" width="15.81640625" style="54" bestFit="1" customWidth="1"/>
    <col min="13" max="13" width="8.81640625" style="54"/>
    <col min="14" max="14" width="10.54296875" style="54" bestFit="1" customWidth="1"/>
    <col min="15" max="16384" width="8.81640625" style="54"/>
  </cols>
  <sheetData>
    <row r="1" spans="1:10" x14ac:dyDescent="0.35">
      <c r="A1" s="54" t="s">
        <v>40</v>
      </c>
    </row>
    <row r="2" spans="1:10" x14ac:dyDescent="0.35">
      <c r="A2" s="54" t="s">
        <v>115</v>
      </c>
    </row>
    <row r="3" spans="1:10" x14ac:dyDescent="0.35">
      <c r="A3" s="54" t="s">
        <v>87</v>
      </c>
    </row>
    <row r="4" spans="1:10" x14ac:dyDescent="0.35">
      <c r="E4" s="55" t="s">
        <v>109</v>
      </c>
      <c r="F4" s="55"/>
      <c r="G4" s="55"/>
    </row>
    <row r="5" spans="1:10" x14ac:dyDescent="0.35">
      <c r="E5" s="56" t="s">
        <v>88</v>
      </c>
      <c r="F5" s="56" t="s">
        <v>89</v>
      </c>
      <c r="G5" s="56" t="s">
        <v>84</v>
      </c>
      <c r="I5" s="56" t="s">
        <v>90</v>
      </c>
      <c r="J5" s="56" t="s">
        <v>37</v>
      </c>
    </row>
    <row r="6" spans="1:10" x14ac:dyDescent="0.35">
      <c r="E6" s="57"/>
      <c r="F6" s="57"/>
      <c r="G6" s="57"/>
      <c r="I6" s="58"/>
    </row>
    <row r="7" spans="1:10" x14ac:dyDescent="0.35">
      <c r="C7" s="59" t="s">
        <v>91</v>
      </c>
      <c r="E7" s="57"/>
      <c r="F7" s="57"/>
      <c r="G7" s="57"/>
      <c r="I7" s="58"/>
    </row>
    <row r="8" spans="1:10" x14ac:dyDescent="0.35">
      <c r="C8" s="54" t="s">
        <v>92</v>
      </c>
      <c r="E8" s="57">
        <v>0</v>
      </c>
      <c r="F8" s="57">
        <v>137258</v>
      </c>
      <c r="G8" s="57">
        <f>F8*4</f>
        <v>549032</v>
      </c>
      <c r="I8" s="58" t="s">
        <v>93</v>
      </c>
      <c r="J8" s="60"/>
    </row>
    <row r="9" spans="1:10" x14ac:dyDescent="0.35">
      <c r="C9" s="54" t="s">
        <v>94</v>
      </c>
      <c r="E9" s="57">
        <v>0</v>
      </c>
      <c r="F9" s="57">
        <v>990</v>
      </c>
      <c r="G9" s="57">
        <f>F9*4</f>
        <v>3960</v>
      </c>
      <c r="I9" s="58" t="s">
        <v>95</v>
      </c>
    </row>
    <row r="10" spans="1:10" x14ac:dyDescent="0.35">
      <c r="E10" s="57"/>
      <c r="F10" s="57"/>
      <c r="G10" s="57"/>
      <c r="I10" s="58"/>
    </row>
    <row r="11" spans="1:10" x14ac:dyDescent="0.35">
      <c r="E11" s="57"/>
      <c r="F11" s="57"/>
      <c r="G11" s="57"/>
      <c r="I11" s="58"/>
    </row>
    <row r="12" spans="1:10" x14ac:dyDescent="0.35">
      <c r="E12" s="55" t="s">
        <v>116</v>
      </c>
      <c r="F12" s="55"/>
      <c r="G12" s="55"/>
    </row>
    <row r="13" spans="1:10" x14ac:dyDescent="0.35">
      <c r="E13" s="56" t="s">
        <v>88</v>
      </c>
      <c r="F13" s="56" t="s">
        <v>89</v>
      </c>
      <c r="G13" s="56" t="s">
        <v>84</v>
      </c>
      <c r="I13" s="56" t="s">
        <v>90</v>
      </c>
      <c r="J13" s="56" t="s">
        <v>37</v>
      </c>
    </row>
    <row r="14" spans="1:10" x14ac:dyDescent="0.35">
      <c r="E14" s="57"/>
      <c r="F14" s="57"/>
      <c r="G14" s="57"/>
      <c r="I14" s="58"/>
    </row>
    <row r="15" spans="1:10" x14ac:dyDescent="0.35">
      <c r="C15" s="59" t="s">
        <v>91</v>
      </c>
      <c r="E15" s="57"/>
      <c r="F15" s="57"/>
      <c r="G15" s="57"/>
      <c r="I15" s="58"/>
    </row>
    <row r="16" spans="1:10" x14ac:dyDescent="0.35">
      <c r="C16" s="54" t="s">
        <v>92</v>
      </c>
      <c r="E16" s="57">
        <v>0</v>
      </c>
      <c r="F16" s="57">
        <f>G16/4</f>
        <v>140999.09395343746</v>
      </c>
      <c r="G16" s="57">
        <f>C38</f>
        <v>563996.37581374985</v>
      </c>
      <c r="I16" s="58" t="s">
        <v>93</v>
      </c>
      <c r="J16" s="61" t="s">
        <v>96</v>
      </c>
    </row>
    <row r="17" spans="2:14" x14ac:dyDescent="0.35">
      <c r="C17" s="54" t="s">
        <v>94</v>
      </c>
      <c r="E17" s="57">
        <v>0</v>
      </c>
      <c r="F17" s="57">
        <f>G17/4</f>
        <v>990</v>
      </c>
      <c r="G17" s="57">
        <f>G9</f>
        <v>3960</v>
      </c>
      <c r="I17" s="58" t="s">
        <v>95</v>
      </c>
    </row>
    <row r="18" spans="2:14" x14ac:dyDescent="0.35">
      <c r="E18" s="57"/>
      <c r="F18" s="57"/>
      <c r="I18" s="58"/>
    </row>
    <row r="19" spans="2:14" x14ac:dyDescent="0.35">
      <c r="E19" s="57"/>
      <c r="F19" s="57"/>
      <c r="G19" s="57"/>
      <c r="I19" s="58"/>
    </row>
    <row r="20" spans="2:14" x14ac:dyDescent="0.35">
      <c r="C20" s="59" t="s">
        <v>49</v>
      </c>
    </row>
    <row r="21" spans="2:14" x14ac:dyDescent="0.35">
      <c r="C21" s="54" t="s">
        <v>97</v>
      </c>
    </row>
    <row r="22" spans="2:14" x14ac:dyDescent="0.35">
      <c r="C22" s="54" t="s">
        <v>98</v>
      </c>
    </row>
    <row r="23" spans="2:14" x14ac:dyDescent="0.35">
      <c r="C23" s="54" t="s">
        <v>99</v>
      </c>
    </row>
    <row r="24" spans="2:14" x14ac:dyDescent="0.35">
      <c r="C24" s="54" t="s">
        <v>100</v>
      </c>
    </row>
    <row r="26" spans="2:14" x14ac:dyDescent="0.35">
      <c r="B26" s="62" t="s">
        <v>101</v>
      </c>
      <c r="C26" s="54" t="s">
        <v>102</v>
      </c>
    </row>
    <row r="27" spans="2:14" x14ac:dyDescent="0.35">
      <c r="B27" s="62"/>
    </row>
    <row r="28" spans="2:14" x14ac:dyDescent="0.35">
      <c r="C28" s="63">
        <f>J32</f>
        <v>12243640.282499999</v>
      </c>
      <c r="D28" s="54" t="s">
        <v>110</v>
      </c>
      <c r="I28" s="54" t="s">
        <v>112</v>
      </c>
      <c r="J28" s="64">
        <v>12168912.199999999</v>
      </c>
    </row>
    <row r="29" spans="2:14" x14ac:dyDescent="0.35">
      <c r="C29" s="65">
        <v>4.4999999999999998E-2</v>
      </c>
      <c r="D29" s="54" t="s">
        <v>103</v>
      </c>
      <c r="I29" s="54" t="s">
        <v>113</v>
      </c>
      <c r="J29" s="64">
        <v>12039565.869999999</v>
      </c>
    </row>
    <row r="30" spans="2:14" x14ac:dyDescent="0.35">
      <c r="C30" s="66">
        <v>0.3</v>
      </c>
      <c r="D30" s="54" t="s">
        <v>104</v>
      </c>
      <c r="I30" s="54" t="s">
        <v>114</v>
      </c>
      <c r="J30" s="64">
        <v>12565418.720000001</v>
      </c>
    </row>
    <row r="31" spans="2:14" x14ac:dyDescent="0.35">
      <c r="C31" s="67">
        <f>C28*C29*C30</f>
        <v>165289.14381374995</v>
      </c>
      <c r="I31" s="54" t="s">
        <v>117</v>
      </c>
      <c r="J31" s="64">
        <v>12200664.34</v>
      </c>
    </row>
    <row r="32" spans="2:14" x14ac:dyDescent="0.35">
      <c r="C32" s="68"/>
      <c r="J32" s="64">
        <f>AVERAGE(J28:J31)</f>
        <v>12243640.282499999</v>
      </c>
      <c r="L32" s="64"/>
      <c r="N32" s="64"/>
    </row>
    <row r="33" spans="3:14" x14ac:dyDescent="0.35">
      <c r="C33" s="69">
        <f>G8+G9</f>
        <v>552992</v>
      </c>
      <c r="D33" s="54" t="s">
        <v>111</v>
      </c>
      <c r="L33" s="72"/>
      <c r="N33" s="72"/>
    </row>
    <row r="34" spans="3:14" x14ac:dyDescent="0.35">
      <c r="C34" s="70">
        <v>0.03</v>
      </c>
      <c r="D34" s="54" t="s">
        <v>128</v>
      </c>
      <c r="J34" s="64"/>
      <c r="L34" s="73"/>
      <c r="N34" s="73"/>
    </row>
    <row r="35" spans="3:14" x14ac:dyDescent="0.35">
      <c r="C35" s="66">
        <v>0.7</v>
      </c>
      <c r="D35" s="54" t="s">
        <v>104</v>
      </c>
      <c r="J35" s="64"/>
      <c r="L35" s="67"/>
      <c r="N35" s="67"/>
    </row>
    <row r="36" spans="3:14" x14ac:dyDescent="0.35">
      <c r="C36" s="67">
        <f>C33*(1+C34)*C35</f>
        <v>398707.23199999996</v>
      </c>
      <c r="J36" s="64"/>
    </row>
    <row r="37" spans="3:14" x14ac:dyDescent="0.35">
      <c r="C37" s="68"/>
      <c r="J37" s="64"/>
    </row>
    <row r="38" spans="3:14" ht="15" thickBot="1" x14ac:dyDescent="0.4">
      <c r="C38" s="71">
        <f>C31+C36</f>
        <v>563996.37581374985</v>
      </c>
      <c r="D38" s="54" t="s">
        <v>118</v>
      </c>
      <c r="J38" s="64"/>
    </row>
    <row r="39" spans="3:14" ht="15" thickTop="1" x14ac:dyDescent="0.35"/>
  </sheetData>
  <pageMargins left="0.7" right="0.7" top="0.75" bottom="0.75" header="0.3" footer="0.3"/>
  <pageSetup scale="73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D3F8C-8B25-4780-82DE-9D487A965955}">
  <sheetPr>
    <tabColor theme="9" tint="0.59999389629810485"/>
    <pageSetUpPr fitToPage="1"/>
  </sheetPr>
  <dimension ref="A1:K98"/>
  <sheetViews>
    <sheetView workbookViewId="0">
      <selection activeCell="G14" sqref="G14:G15"/>
    </sheetView>
  </sheetViews>
  <sheetFormatPr defaultColWidth="8.81640625" defaultRowHeight="14.5" x14ac:dyDescent="0.35"/>
  <cols>
    <col min="1" max="1" width="3" style="77" customWidth="1"/>
    <col min="2" max="2" width="49.453125" style="77" customWidth="1"/>
    <col min="3" max="4" width="12" style="77" customWidth="1"/>
    <col min="5" max="5" width="11.1796875" style="77" customWidth="1"/>
    <col min="6" max="6" width="16.453125" style="77" bestFit="1" customWidth="1"/>
    <col min="7" max="7" width="11.81640625" style="77" bestFit="1" customWidth="1"/>
    <col min="8" max="9" width="8.81640625" style="77"/>
    <col min="10" max="10" width="9.36328125" style="77" bestFit="1" customWidth="1"/>
    <col min="11" max="258" width="8.81640625" style="77"/>
    <col min="259" max="259" width="3" style="77" customWidth="1"/>
    <col min="260" max="260" width="65.453125" style="77" customWidth="1"/>
    <col min="261" max="261" width="8.453125" style="77" customWidth="1"/>
    <col min="262" max="514" width="8.81640625" style="77"/>
    <col min="515" max="515" width="3" style="77" customWidth="1"/>
    <col min="516" max="516" width="65.453125" style="77" customWidth="1"/>
    <col min="517" max="517" width="8.453125" style="77" customWidth="1"/>
    <col min="518" max="770" width="8.81640625" style="77"/>
    <col min="771" max="771" width="3" style="77" customWidth="1"/>
    <col min="772" max="772" width="65.453125" style="77" customWidth="1"/>
    <col min="773" max="773" width="8.453125" style="77" customWidth="1"/>
    <col min="774" max="1026" width="8.81640625" style="77"/>
    <col min="1027" max="1027" width="3" style="77" customWidth="1"/>
    <col min="1028" max="1028" width="65.453125" style="77" customWidth="1"/>
    <col min="1029" max="1029" width="8.453125" style="77" customWidth="1"/>
    <col min="1030" max="1282" width="8.81640625" style="77"/>
    <col min="1283" max="1283" width="3" style="77" customWidth="1"/>
    <col min="1284" max="1284" width="65.453125" style="77" customWidth="1"/>
    <col min="1285" max="1285" width="8.453125" style="77" customWidth="1"/>
    <col min="1286" max="1538" width="8.81640625" style="77"/>
    <col min="1539" max="1539" width="3" style="77" customWidth="1"/>
    <col min="1540" max="1540" width="65.453125" style="77" customWidth="1"/>
    <col min="1541" max="1541" width="8.453125" style="77" customWidth="1"/>
    <col min="1542" max="1794" width="8.81640625" style="77"/>
    <col min="1795" max="1795" width="3" style="77" customWidth="1"/>
    <col min="1796" max="1796" width="65.453125" style="77" customWidth="1"/>
    <col min="1797" max="1797" width="8.453125" style="77" customWidth="1"/>
    <col min="1798" max="2050" width="8.81640625" style="77"/>
    <col min="2051" max="2051" width="3" style="77" customWidth="1"/>
    <col min="2052" max="2052" width="65.453125" style="77" customWidth="1"/>
    <col min="2053" max="2053" width="8.453125" style="77" customWidth="1"/>
    <col min="2054" max="2306" width="8.81640625" style="77"/>
    <col min="2307" max="2307" width="3" style="77" customWidth="1"/>
    <col min="2308" max="2308" width="65.453125" style="77" customWidth="1"/>
    <col min="2309" max="2309" width="8.453125" style="77" customWidth="1"/>
    <col min="2310" max="2562" width="8.81640625" style="77"/>
    <col min="2563" max="2563" width="3" style="77" customWidth="1"/>
    <col min="2564" max="2564" width="65.453125" style="77" customWidth="1"/>
    <col min="2565" max="2565" width="8.453125" style="77" customWidth="1"/>
    <col min="2566" max="2818" width="8.81640625" style="77"/>
    <col min="2819" max="2819" width="3" style="77" customWidth="1"/>
    <col min="2820" max="2820" width="65.453125" style="77" customWidth="1"/>
    <col min="2821" max="2821" width="8.453125" style="77" customWidth="1"/>
    <col min="2822" max="3074" width="8.81640625" style="77"/>
    <col min="3075" max="3075" width="3" style="77" customWidth="1"/>
    <col min="3076" max="3076" width="65.453125" style="77" customWidth="1"/>
    <col min="3077" max="3077" width="8.453125" style="77" customWidth="1"/>
    <col min="3078" max="3330" width="8.81640625" style="77"/>
    <col min="3331" max="3331" width="3" style="77" customWidth="1"/>
    <col min="3332" max="3332" width="65.453125" style="77" customWidth="1"/>
    <col min="3333" max="3333" width="8.453125" style="77" customWidth="1"/>
    <col min="3334" max="3586" width="8.81640625" style="77"/>
    <col min="3587" max="3587" width="3" style="77" customWidth="1"/>
    <col min="3588" max="3588" width="65.453125" style="77" customWidth="1"/>
    <col min="3589" max="3589" width="8.453125" style="77" customWidth="1"/>
    <col min="3590" max="3842" width="8.81640625" style="77"/>
    <col min="3843" max="3843" width="3" style="77" customWidth="1"/>
    <col min="3844" max="3844" width="65.453125" style="77" customWidth="1"/>
    <col min="3845" max="3845" width="8.453125" style="77" customWidth="1"/>
    <col min="3846" max="4098" width="8.81640625" style="77"/>
    <col min="4099" max="4099" width="3" style="77" customWidth="1"/>
    <col min="4100" max="4100" width="65.453125" style="77" customWidth="1"/>
    <col min="4101" max="4101" width="8.453125" style="77" customWidth="1"/>
    <col min="4102" max="4354" width="8.81640625" style="77"/>
    <col min="4355" max="4355" width="3" style="77" customWidth="1"/>
    <col min="4356" max="4356" width="65.453125" style="77" customWidth="1"/>
    <col min="4357" max="4357" width="8.453125" style="77" customWidth="1"/>
    <col min="4358" max="4610" width="8.81640625" style="77"/>
    <col min="4611" max="4611" width="3" style="77" customWidth="1"/>
    <col min="4612" max="4612" width="65.453125" style="77" customWidth="1"/>
    <col min="4613" max="4613" width="8.453125" style="77" customWidth="1"/>
    <col min="4614" max="4866" width="8.81640625" style="77"/>
    <col min="4867" max="4867" width="3" style="77" customWidth="1"/>
    <col min="4868" max="4868" width="65.453125" style="77" customWidth="1"/>
    <col min="4869" max="4869" width="8.453125" style="77" customWidth="1"/>
    <col min="4870" max="5122" width="8.81640625" style="77"/>
    <col min="5123" max="5123" width="3" style="77" customWidth="1"/>
    <col min="5124" max="5124" width="65.453125" style="77" customWidth="1"/>
    <col min="5125" max="5125" width="8.453125" style="77" customWidth="1"/>
    <col min="5126" max="5378" width="8.81640625" style="77"/>
    <col min="5379" max="5379" width="3" style="77" customWidth="1"/>
    <col min="5380" max="5380" width="65.453125" style="77" customWidth="1"/>
    <col min="5381" max="5381" width="8.453125" style="77" customWidth="1"/>
    <col min="5382" max="5634" width="8.81640625" style="77"/>
    <col min="5635" max="5635" width="3" style="77" customWidth="1"/>
    <col min="5636" max="5636" width="65.453125" style="77" customWidth="1"/>
    <col min="5637" max="5637" width="8.453125" style="77" customWidth="1"/>
    <col min="5638" max="5890" width="8.81640625" style="77"/>
    <col min="5891" max="5891" width="3" style="77" customWidth="1"/>
    <col min="5892" max="5892" width="65.453125" style="77" customWidth="1"/>
    <col min="5893" max="5893" width="8.453125" style="77" customWidth="1"/>
    <col min="5894" max="6146" width="8.81640625" style="77"/>
    <col min="6147" max="6147" width="3" style="77" customWidth="1"/>
    <col min="6148" max="6148" width="65.453125" style="77" customWidth="1"/>
    <col min="6149" max="6149" width="8.453125" style="77" customWidth="1"/>
    <col min="6150" max="6402" width="8.81640625" style="77"/>
    <col min="6403" max="6403" width="3" style="77" customWidth="1"/>
    <col min="6404" max="6404" width="65.453125" style="77" customWidth="1"/>
    <col min="6405" max="6405" width="8.453125" style="77" customWidth="1"/>
    <col min="6406" max="6658" width="8.81640625" style="77"/>
    <col min="6659" max="6659" width="3" style="77" customWidth="1"/>
    <col min="6660" max="6660" width="65.453125" style="77" customWidth="1"/>
    <col min="6661" max="6661" width="8.453125" style="77" customWidth="1"/>
    <col min="6662" max="6914" width="8.81640625" style="77"/>
    <col min="6915" max="6915" width="3" style="77" customWidth="1"/>
    <col min="6916" max="6916" width="65.453125" style="77" customWidth="1"/>
    <col min="6917" max="6917" width="8.453125" style="77" customWidth="1"/>
    <col min="6918" max="7170" width="8.81640625" style="77"/>
    <col min="7171" max="7171" width="3" style="77" customWidth="1"/>
    <col min="7172" max="7172" width="65.453125" style="77" customWidth="1"/>
    <col min="7173" max="7173" width="8.453125" style="77" customWidth="1"/>
    <col min="7174" max="7426" width="8.81640625" style="77"/>
    <col min="7427" max="7427" width="3" style="77" customWidth="1"/>
    <col min="7428" max="7428" width="65.453125" style="77" customWidth="1"/>
    <col min="7429" max="7429" width="8.453125" style="77" customWidth="1"/>
    <col min="7430" max="7682" width="8.81640625" style="77"/>
    <col min="7683" max="7683" width="3" style="77" customWidth="1"/>
    <col min="7684" max="7684" width="65.453125" style="77" customWidth="1"/>
    <col min="7685" max="7685" width="8.453125" style="77" customWidth="1"/>
    <col min="7686" max="7938" width="8.81640625" style="77"/>
    <col min="7939" max="7939" width="3" style="77" customWidth="1"/>
    <col min="7940" max="7940" width="65.453125" style="77" customWidth="1"/>
    <col min="7941" max="7941" width="8.453125" style="77" customWidth="1"/>
    <col min="7942" max="8194" width="8.81640625" style="77"/>
    <col min="8195" max="8195" width="3" style="77" customWidth="1"/>
    <col min="8196" max="8196" width="65.453125" style="77" customWidth="1"/>
    <col min="8197" max="8197" width="8.453125" style="77" customWidth="1"/>
    <col min="8198" max="8450" width="8.81640625" style="77"/>
    <col min="8451" max="8451" width="3" style="77" customWidth="1"/>
    <col min="8452" max="8452" width="65.453125" style="77" customWidth="1"/>
    <col min="8453" max="8453" width="8.453125" style="77" customWidth="1"/>
    <col min="8454" max="8706" width="8.81640625" style="77"/>
    <col min="8707" max="8707" width="3" style="77" customWidth="1"/>
    <col min="8708" max="8708" width="65.453125" style="77" customWidth="1"/>
    <col min="8709" max="8709" width="8.453125" style="77" customWidth="1"/>
    <col min="8710" max="8962" width="8.81640625" style="77"/>
    <col min="8963" max="8963" width="3" style="77" customWidth="1"/>
    <col min="8964" max="8964" width="65.453125" style="77" customWidth="1"/>
    <col min="8965" max="8965" width="8.453125" style="77" customWidth="1"/>
    <col min="8966" max="9218" width="8.81640625" style="77"/>
    <col min="9219" max="9219" width="3" style="77" customWidth="1"/>
    <col min="9220" max="9220" width="65.453125" style="77" customWidth="1"/>
    <col min="9221" max="9221" width="8.453125" style="77" customWidth="1"/>
    <col min="9222" max="9474" width="8.81640625" style="77"/>
    <col min="9475" max="9475" width="3" style="77" customWidth="1"/>
    <col min="9476" max="9476" width="65.453125" style="77" customWidth="1"/>
    <col min="9477" max="9477" width="8.453125" style="77" customWidth="1"/>
    <col min="9478" max="9730" width="8.81640625" style="77"/>
    <col min="9731" max="9731" width="3" style="77" customWidth="1"/>
    <col min="9732" max="9732" width="65.453125" style="77" customWidth="1"/>
    <col min="9733" max="9733" width="8.453125" style="77" customWidth="1"/>
    <col min="9734" max="9986" width="8.81640625" style="77"/>
    <col min="9987" max="9987" width="3" style="77" customWidth="1"/>
    <col min="9988" max="9988" width="65.453125" style="77" customWidth="1"/>
    <col min="9989" max="9989" width="8.453125" style="77" customWidth="1"/>
    <col min="9990" max="10242" width="8.81640625" style="77"/>
    <col min="10243" max="10243" width="3" style="77" customWidth="1"/>
    <col min="10244" max="10244" width="65.453125" style="77" customWidth="1"/>
    <col min="10245" max="10245" width="8.453125" style="77" customWidth="1"/>
    <col min="10246" max="10498" width="8.81640625" style="77"/>
    <col min="10499" max="10499" width="3" style="77" customWidth="1"/>
    <col min="10500" max="10500" width="65.453125" style="77" customWidth="1"/>
    <col min="10501" max="10501" width="8.453125" style="77" customWidth="1"/>
    <col min="10502" max="10754" width="8.81640625" style="77"/>
    <col min="10755" max="10755" width="3" style="77" customWidth="1"/>
    <col min="10756" max="10756" width="65.453125" style="77" customWidth="1"/>
    <col min="10757" max="10757" width="8.453125" style="77" customWidth="1"/>
    <col min="10758" max="11010" width="8.81640625" style="77"/>
    <col min="11011" max="11011" width="3" style="77" customWidth="1"/>
    <col min="11012" max="11012" width="65.453125" style="77" customWidth="1"/>
    <col min="11013" max="11013" width="8.453125" style="77" customWidth="1"/>
    <col min="11014" max="11266" width="8.81640625" style="77"/>
    <col min="11267" max="11267" width="3" style="77" customWidth="1"/>
    <col min="11268" max="11268" width="65.453125" style="77" customWidth="1"/>
    <col min="11269" max="11269" width="8.453125" style="77" customWidth="1"/>
    <col min="11270" max="11522" width="8.81640625" style="77"/>
    <col min="11523" max="11523" width="3" style="77" customWidth="1"/>
    <col min="11524" max="11524" width="65.453125" style="77" customWidth="1"/>
    <col min="11525" max="11525" width="8.453125" style="77" customWidth="1"/>
    <col min="11526" max="11778" width="8.81640625" style="77"/>
    <col min="11779" max="11779" width="3" style="77" customWidth="1"/>
    <col min="11780" max="11780" width="65.453125" style="77" customWidth="1"/>
    <col min="11781" max="11781" width="8.453125" style="77" customWidth="1"/>
    <col min="11782" max="12034" width="8.81640625" style="77"/>
    <col min="12035" max="12035" width="3" style="77" customWidth="1"/>
    <col min="12036" max="12036" width="65.453125" style="77" customWidth="1"/>
    <col min="12037" max="12037" width="8.453125" style="77" customWidth="1"/>
    <col min="12038" max="12290" width="8.81640625" style="77"/>
    <col min="12291" max="12291" width="3" style="77" customWidth="1"/>
    <col min="12292" max="12292" width="65.453125" style="77" customWidth="1"/>
    <col min="12293" max="12293" width="8.453125" style="77" customWidth="1"/>
    <col min="12294" max="12546" width="8.81640625" style="77"/>
    <col min="12547" max="12547" width="3" style="77" customWidth="1"/>
    <col min="12548" max="12548" width="65.453125" style="77" customWidth="1"/>
    <col min="12549" max="12549" width="8.453125" style="77" customWidth="1"/>
    <col min="12550" max="12802" width="8.81640625" style="77"/>
    <col min="12803" max="12803" width="3" style="77" customWidth="1"/>
    <col min="12804" max="12804" width="65.453125" style="77" customWidth="1"/>
    <col min="12805" max="12805" width="8.453125" style="77" customWidth="1"/>
    <col min="12806" max="13058" width="8.81640625" style="77"/>
    <col min="13059" max="13059" width="3" style="77" customWidth="1"/>
    <col min="13060" max="13060" width="65.453125" style="77" customWidth="1"/>
    <col min="13061" max="13061" width="8.453125" style="77" customWidth="1"/>
    <col min="13062" max="13314" width="8.81640625" style="77"/>
    <col min="13315" max="13315" width="3" style="77" customWidth="1"/>
    <col min="13316" max="13316" width="65.453125" style="77" customWidth="1"/>
    <col min="13317" max="13317" width="8.453125" style="77" customWidth="1"/>
    <col min="13318" max="13570" width="8.81640625" style="77"/>
    <col min="13571" max="13571" width="3" style="77" customWidth="1"/>
    <col min="13572" max="13572" width="65.453125" style="77" customWidth="1"/>
    <col min="13573" max="13573" width="8.453125" style="77" customWidth="1"/>
    <col min="13574" max="13826" width="8.81640625" style="77"/>
    <col min="13827" max="13827" width="3" style="77" customWidth="1"/>
    <col min="13828" max="13828" width="65.453125" style="77" customWidth="1"/>
    <col min="13829" max="13829" width="8.453125" style="77" customWidth="1"/>
    <col min="13830" max="14082" width="8.81640625" style="77"/>
    <col min="14083" max="14083" width="3" style="77" customWidth="1"/>
    <col min="14084" max="14084" width="65.453125" style="77" customWidth="1"/>
    <col min="14085" max="14085" width="8.453125" style="77" customWidth="1"/>
    <col min="14086" max="14338" width="8.81640625" style="77"/>
    <col min="14339" max="14339" width="3" style="77" customWidth="1"/>
    <col min="14340" max="14340" width="65.453125" style="77" customWidth="1"/>
    <col min="14341" max="14341" width="8.453125" style="77" customWidth="1"/>
    <col min="14342" max="14594" width="8.81640625" style="77"/>
    <col min="14595" max="14595" width="3" style="77" customWidth="1"/>
    <col min="14596" max="14596" width="65.453125" style="77" customWidth="1"/>
    <col min="14597" max="14597" width="8.453125" style="77" customWidth="1"/>
    <col min="14598" max="14850" width="8.81640625" style="77"/>
    <col min="14851" max="14851" width="3" style="77" customWidth="1"/>
    <col min="14852" max="14852" width="65.453125" style="77" customWidth="1"/>
    <col min="14853" max="14853" width="8.453125" style="77" customWidth="1"/>
    <col min="14854" max="15106" width="8.81640625" style="77"/>
    <col min="15107" max="15107" width="3" style="77" customWidth="1"/>
    <col min="15108" max="15108" width="65.453125" style="77" customWidth="1"/>
    <col min="15109" max="15109" width="8.453125" style="77" customWidth="1"/>
    <col min="15110" max="15362" width="8.81640625" style="77"/>
    <col min="15363" max="15363" width="3" style="77" customWidth="1"/>
    <col min="15364" max="15364" width="65.453125" style="77" customWidth="1"/>
    <col min="15365" max="15365" width="8.453125" style="77" customWidth="1"/>
    <col min="15366" max="15618" width="8.81640625" style="77"/>
    <col min="15619" max="15619" width="3" style="77" customWidth="1"/>
    <col min="15620" max="15620" width="65.453125" style="77" customWidth="1"/>
    <col min="15621" max="15621" width="8.453125" style="77" customWidth="1"/>
    <col min="15622" max="15874" width="8.81640625" style="77"/>
    <col min="15875" max="15875" width="3" style="77" customWidth="1"/>
    <col min="15876" max="15876" width="65.453125" style="77" customWidth="1"/>
    <col min="15877" max="15877" width="8.453125" style="77" customWidth="1"/>
    <col min="15878" max="16130" width="8.81640625" style="77"/>
    <col min="16131" max="16131" width="3" style="77" customWidth="1"/>
    <col min="16132" max="16132" width="65.453125" style="77" customWidth="1"/>
    <col min="16133" max="16133" width="8.453125" style="77" customWidth="1"/>
    <col min="16134" max="16384" width="8.81640625" style="77"/>
  </cols>
  <sheetData>
    <row r="1" spans="1:11" ht="15" thickBot="1" x14ac:dyDescent="0.4">
      <c r="A1" s="75" t="s">
        <v>126</v>
      </c>
      <c r="B1" s="76"/>
      <c r="C1" s="76"/>
      <c r="D1" s="76"/>
      <c r="E1" s="76"/>
      <c r="F1" s="76"/>
      <c r="G1" s="76"/>
    </row>
    <row r="2" spans="1:11" x14ac:dyDescent="0.35">
      <c r="A2" s="78" t="s">
        <v>50</v>
      </c>
    </row>
    <row r="4" spans="1:11" x14ac:dyDescent="0.35">
      <c r="A4" s="79" t="s">
        <v>51</v>
      </c>
      <c r="B4" s="80"/>
      <c r="C4" s="80"/>
      <c r="D4" s="80"/>
      <c r="E4" s="80"/>
      <c r="F4" s="80"/>
      <c r="G4" s="81" t="s">
        <v>0</v>
      </c>
    </row>
    <row r="5" spans="1:11" x14ac:dyDescent="0.35">
      <c r="A5" s="82"/>
      <c r="B5" s="83"/>
      <c r="C5" s="83"/>
      <c r="D5" s="83"/>
      <c r="E5" s="83"/>
      <c r="F5" s="83"/>
      <c r="G5" s="84"/>
    </row>
    <row r="6" spans="1:11" x14ac:dyDescent="0.35">
      <c r="A6" s="85" t="s">
        <v>52</v>
      </c>
      <c r="G6" s="86">
        <f>G36</f>
        <v>30035.944006414618</v>
      </c>
    </row>
    <row r="7" spans="1:11" x14ac:dyDescent="0.35">
      <c r="A7" s="85"/>
      <c r="G7" s="86"/>
      <c r="H7" s="87"/>
      <c r="I7" s="87"/>
      <c r="J7" s="87"/>
      <c r="K7" s="87"/>
    </row>
    <row r="8" spans="1:11" x14ac:dyDescent="0.35">
      <c r="A8" s="85" t="s">
        <v>53</v>
      </c>
      <c r="G8" s="86">
        <f>'[1]ITS (updated)'!C21</f>
        <v>107460.38181818182</v>
      </c>
      <c r="H8" s="87" t="s">
        <v>54</v>
      </c>
      <c r="I8" s="87"/>
      <c r="J8" s="87"/>
      <c r="K8" s="87"/>
    </row>
    <row r="9" spans="1:11" x14ac:dyDescent="0.35">
      <c r="A9" s="77" t="s">
        <v>55</v>
      </c>
      <c r="G9" s="86">
        <v>-7585.56</v>
      </c>
      <c r="H9" s="87"/>
      <c r="I9" s="87"/>
      <c r="J9" s="87"/>
      <c r="K9" s="87"/>
    </row>
    <row r="10" spans="1:11" x14ac:dyDescent="0.35">
      <c r="A10" s="85"/>
      <c r="G10" s="86"/>
      <c r="H10" s="87"/>
      <c r="I10" s="87"/>
      <c r="J10" s="87"/>
      <c r="K10" s="87"/>
    </row>
    <row r="11" spans="1:11" x14ac:dyDescent="0.35">
      <c r="A11" s="85" t="s">
        <v>56</v>
      </c>
      <c r="G11" s="86">
        <f>+(G40)</f>
        <v>40876.559999999998</v>
      </c>
      <c r="H11" s="87"/>
      <c r="I11" s="87"/>
      <c r="J11" s="87"/>
      <c r="K11" s="87"/>
    </row>
    <row r="12" spans="1:11" x14ac:dyDescent="0.35">
      <c r="A12" s="85"/>
      <c r="G12" s="86"/>
      <c r="H12" s="87"/>
      <c r="I12" s="87"/>
      <c r="J12" s="87"/>
      <c r="K12" s="87"/>
    </row>
    <row r="13" spans="1:11" x14ac:dyDescent="0.35">
      <c r="A13" s="88" t="s">
        <v>57</v>
      </c>
      <c r="B13" s="89"/>
      <c r="C13" s="89"/>
      <c r="D13" s="89"/>
      <c r="E13" s="89"/>
      <c r="F13" s="89"/>
      <c r="G13" s="90">
        <f>G44</f>
        <v>490590.72857142863</v>
      </c>
      <c r="H13" s="87"/>
      <c r="I13" s="87"/>
      <c r="J13" s="87"/>
      <c r="K13" s="87"/>
    </row>
    <row r="14" spans="1:11" x14ac:dyDescent="0.35">
      <c r="A14" s="85"/>
      <c r="G14" s="133">
        <f>SUM(G6:G13)</f>
        <v>661378.05439602514</v>
      </c>
      <c r="H14" s="87"/>
      <c r="I14" s="87">
        <f>G14*0.55</f>
        <v>363757.92991781386</v>
      </c>
      <c r="J14" s="87"/>
      <c r="K14" s="87"/>
    </row>
    <row r="15" spans="1:11" x14ac:dyDescent="0.35">
      <c r="A15" s="91" t="s">
        <v>58</v>
      </c>
      <c r="B15" s="92"/>
      <c r="C15" s="92"/>
      <c r="D15" s="92"/>
      <c r="E15" s="92"/>
      <c r="F15" s="92"/>
      <c r="G15" s="134"/>
      <c r="H15" s="87"/>
      <c r="I15" s="87"/>
      <c r="J15" s="87"/>
      <c r="K15" s="87"/>
    </row>
    <row r="16" spans="1:11" x14ac:dyDescent="0.35">
      <c r="A16" s="93"/>
      <c r="B16" s="94"/>
      <c r="C16" s="94"/>
      <c r="D16" s="94"/>
      <c r="E16" s="94"/>
      <c r="H16" s="87"/>
      <c r="I16" s="87"/>
      <c r="J16" s="95"/>
      <c r="K16" s="87"/>
    </row>
    <row r="17" spans="1:11" x14ac:dyDescent="0.35">
      <c r="G17" s="87"/>
      <c r="H17" s="87"/>
      <c r="I17" s="87"/>
      <c r="J17" s="96"/>
      <c r="K17" s="87"/>
    </row>
    <row r="18" spans="1:11" x14ac:dyDescent="0.35">
      <c r="A18" s="97" t="s">
        <v>59</v>
      </c>
      <c r="B18" s="98"/>
      <c r="C18" s="98"/>
      <c r="D18" s="98"/>
      <c r="E18" s="99" t="s">
        <v>60</v>
      </c>
      <c r="F18" s="99"/>
      <c r="G18" s="100" t="s">
        <v>0</v>
      </c>
    </row>
    <row r="19" spans="1:11" x14ac:dyDescent="0.35">
      <c r="A19" s="82"/>
      <c r="B19" s="83"/>
      <c r="C19" s="83"/>
      <c r="D19" s="83"/>
      <c r="E19" s="84"/>
      <c r="F19" s="84"/>
      <c r="G19" s="101"/>
    </row>
    <row r="20" spans="1:11" x14ac:dyDescent="0.35">
      <c r="A20" s="85" t="s">
        <v>61</v>
      </c>
      <c r="E20" s="86"/>
      <c r="F20" s="86"/>
      <c r="G20" s="102"/>
      <c r="H20" s="87"/>
      <c r="I20" s="87"/>
    </row>
    <row r="21" spans="1:11" x14ac:dyDescent="0.35">
      <c r="A21" s="85"/>
      <c r="B21" s="77" t="s">
        <v>62</v>
      </c>
      <c r="E21" s="86"/>
      <c r="F21" s="86"/>
      <c r="G21" s="102"/>
      <c r="H21" s="87"/>
      <c r="I21" s="87"/>
    </row>
    <row r="22" spans="1:11" x14ac:dyDescent="0.35">
      <c r="A22" s="85"/>
      <c r="B22" s="77" t="s">
        <v>63</v>
      </c>
      <c r="E22" s="86">
        <v>208</v>
      </c>
      <c r="F22" s="86"/>
      <c r="G22" s="102"/>
      <c r="H22" s="87"/>
      <c r="I22" s="87"/>
    </row>
    <row r="23" spans="1:11" x14ac:dyDescent="0.35">
      <c r="A23" s="85"/>
      <c r="B23" s="77" t="s">
        <v>64</v>
      </c>
      <c r="E23" s="86">
        <v>104</v>
      </c>
      <c r="F23" s="86"/>
      <c r="G23" s="102"/>
      <c r="H23" s="87"/>
      <c r="I23" s="87"/>
    </row>
    <row r="24" spans="1:11" x14ac:dyDescent="0.35">
      <c r="A24" s="85"/>
      <c r="B24" s="103" t="s">
        <v>65</v>
      </c>
      <c r="C24" s="103"/>
      <c r="D24" s="103"/>
      <c r="E24" s="86"/>
      <c r="F24" s="86"/>
      <c r="G24" s="102">
        <f>+(E22/1820*[1]Rates!E30)+(E23/1820*[1]Rates!E26)</f>
        <v>22581.572914285716</v>
      </c>
      <c r="H24" s="87"/>
      <c r="I24" s="87"/>
    </row>
    <row r="25" spans="1:11" x14ac:dyDescent="0.35">
      <c r="A25" s="85" t="s">
        <v>66</v>
      </c>
      <c r="E25" s="86"/>
      <c r="F25" s="86"/>
      <c r="G25" s="104">
        <f>+G24*0.05</f>
        <v>1129.0786457142858</v>
      </c>
      <c r="H25" s="87"/>
      <c r="I25" s="87"/>
    </row>
    <row r="26" spans="1:11" ht="13.5" customHeight="1" x14ac:dyDescent="0.35">
      <c r="A26" s="85" t="s">
        <v>67</v>
      </c>
      <c r="E26" s="86"/>
      <c r="F26" s="86"/>
      <c r="G26" s="104" t="s">
        <v>68</v>
      </c>
      <c r="H26" s="87"/>
      <c r="I26" s="87"/>
    </row>
    <row r="27" spans="1:11" ht="15" thickBot="1" x14ac:dyDescent="0.4">
      <c r="A27" s="82"/>
      <c r="B27" s="83"/>
      <c r="C27" s="83"/>
      <c r="D27" s="83"/>
      <c r="E27" s="105"/>
      <c r="F27" s="105"/>
      <c r="G27" s="106"/>
      <c r="H27" s="87"/>
      <c r="I27" s="87"/>
    </row>
    <row r="28" spans="1:11" ht="15" thickBot="1" x14ac:dyDescent="0.4">
      <c r="A28" s="88" t="s">
        <v>69</v>
      </c>
      <c r="B28" s="89"/>
      <c r="C28" s="89"/>
      <c r="D28" s="89"/>
      <c r="E28" s="90"/>
      <c r="F28" s="90"/>
      <c r="G28" s="107">
        <f>SUM(G20:G26)</f>
        <v>23710.651560000002</v>
      </c>
      <c r="H28" s="108">
        <v>0.03</v>
      </c>
      <c r="I28" s="87"/>
    </row>
    <row r="29" spans="1:11" x14ac:dyDescent="0.35">
      <c r="E29" s="87"/>
      <c r="F29" s="87" t="s">
        <v>70</v>
      </c>
      <c r="G29" s="87">
        <f t="shared" ref="G29:G36" si="0">+G28*(1+$H$28)</f>
        <v>24421.971106800003</v>
      </c>
      <c r="H29" s="87"/>
      <c r="I29" s="87"/>
    </row>
    <row r="30" spans="1:11" x14ac:dyDescent="0.35">
      <c r="E30" s="87"/>
      <c r="F30" s="87" t="s">
        <v>71</v>
      </c>
      <c r="G30" s="87">
        <f t="shared" si="0"/>
        <v>25154.630240004004</v>
      </c>
      <c r="H30" s="87"/>
      <c r="I30" s="87"/>
    </row>
    <row r="31" spans="1:11" x14ac:dyDescent="0.35">
      <c r="E31" s="87"/>
      <c r="F31" s="87" t="s">
        <v>72</v>
      </c>
      <c r="G31" s="87">
        <f t="shared" si="0"/>
        <v>25909.269147204126</v>
      </c>
      <c r="H31" s="87"/>
      <c r="I31" s="87"/>
    </row>
    <row r="32" spans="1:11" x14ac:dyDescent="0.35">
      <c r="E32" s="87"/>
      <c r="F32" s="87" t="s">
        <v>73</v>
      </c>
      <c r="G32" s="87">
        <f t="shared" si="0"/>
        <v>26686.547221620251</v>
      </c>
      <c r="H32" s="87"/>
      <c r="I32" s="87"/>
    </row>
    <row r="33" spans="1:9" x14ac:dyDescent="0.35">
      <c r="E33" s="87"/>
      <c r="F33" s="87" t="s">
        <v>74</v>
      </c>
      <c r="G33" s="87">
        <f t="shared" si="0"/>
        <v>27487.143638268859</v>
      </c>
      <c r="H33" s="87"/>
      <c r="I33" s="87"/>
    </row>
    <row r="34" spans="1:9" x14ac:dyDescent="0.35">
      <c r="E34" s="87"/>
      <c r="F34" s="87" t="s">
        <v>75</v>
      </c>
      <c r="G34" s="87">
        <f t="shared" si="0"/>
        <v>28311.757947416925</v>
      </c>
      <c r="I34" s="87"/>
    </row>
    <row r="35" spans="1:9" x14ac:dyDescent="0.35">
      <c r="E35" s="87"/>
      <c r="F35" s="87" t="s">
        <v>76</v>
      </c>
      <c r="G35" s="87">
        <f t="shared" si="0"/>
        <v>29161.110685839434</v>
      </c>
      <c r="H35" s="87" t="s">
        <v>77</v>
      </c>
      <c r="I35" s="87"/>
    </row>
    <row r="36" spans="1:9" x14ac:dyDescent="0.35">
      <c r="E36" s="87"/>
      <c r="F36" s="109" t="s">
        <v>127</v>
      </c>
      <c r="G36" s="109">
        <f t="shared" si="0"/>
        <v>30035.944006414618</v>
      </c>
      <c r="H36" s="87" t="s">
        <v>77</v>
      </c>
      <c r="I36" s="87"/>
    </row>
    <row r="37" spans="1:9" x14ac:dyDescent="0.35">
      <c r="A37" s="110"/>
      <c r="E37" s="87"/>
      <c r="F37" s="111"/>
      <c r="G37" s="87"/>
      <c r="H37" s="87"/>
      <c r="I37" s="87"/>
    </row>
    <row r="38" spans="1:9" x14ac:dyDescent="0.35">
      <c r="A38" s="112" t="s">
        <v>56</v>
      </c>
      <c r="B38" s="113"/>
      <c r="C38" s="100"/>
      <c r="D38" s="114"/>
      <c r="E38" s="115" t="s">
        <v>78</v>
      </c>
      <c r="F38" s="116" t="s">
        <v>79</v>
      </c>
      <c r="G38" s="114" t="s">
        <v>0</v>
      </c>
      <c r="H38" s="87"/>
      <c r="I38" s="87"/>
    </row>
    <row r="39" spans="1:9" x14ac:dyDescent="0.35">
      <c r="A39" s="117"/>
      <c r="B39" s="83"/>
      <c r="C39" s="84"/>
      <c r="D39" s="83"/>
      <c r="E39" s="105"/>
      <c r="F39" s="118"/>
      <c r="G39" s="119"/>
      <c r="H39" s="87"/>
      <c r="I39" s="87"/>
    </row>
    <row r="40" spans="1:9" x14ac:dyDescent="0.35">
      <c r="A40" s="120" t="s">
        <v>80</v>
      </c>
      <c r="B40" s="121"/>
      <c r="C40" s="122"/>
      <c r="D40" s="89"/>
      <c r="E40" s="123">
        <v>510957</v>
      </c>
      <c r="F40" s="124">
        <v>0.08</v>
      </c>
      <c r="G40" s="107">
        <f>+E40*F40</f>
        <v>40876.559999999998</v>
      </c>
      <c r="H40" s="87" t="s">
        <v>81</v>
      </c>
    </row>
    <row r="41" spans="1:9" x14ac:dyDescent="0.35">
      <c r="A41" s="110"/>
      <c r="E41" s="87"/>
      <c r="F41" s="111"/>
      <c r="G41" s="87"/>
      <c r="H41" s="87"/>
      <c r="I41" s="87"/>
    </row>
    <row r="42" spans="1:9" x14ac:dyDescent="0.35">
      <c r="A42" s="97" t="s">
        <v>57</v>
      </c>
      <c r="B42" s="125"/>
      <c r="C42" s="100" t="s">
        <v>82</v>
      </c>
      <c r="D42" s="114" t="s">
        <v>83</v>
      </c>
      <c r="E42" s="81" t="s">
        <v>84</v>
      </c>
      <c r="F42" s="116" t="s">
        <v>79</v>
      </c>
      <c r="G42" s="126" t="s">
        <v>84</v>
      </c>
      <c r="H42" s="87"/>
      <c r="I42" s="87"/>
    </row>
    <row r="43" spans="1:9" x14ac:dyDescent="0.35">
      <c r="A43" s="82"/>
      <c r="B43" s="83"/>
      <c r="C43" s="84"/>
      <c r="D43" s="83"/>
      <c r="E43" s="105"/>
      <c r="F43" s="118"/>
      <c r="G43" s="119"/>
      <c r="H43" s="87"/>
      <c r="I43" s="87"/>
    </row>
    <row r="44" spans="1:9" x14ac:dyDescent="0.35">
      <c r="A44" s="88" t="s">
        <v>85</v>
      </c>
      <c r="B44" s="89"/>
      <c r="C44" s="127">
        <v>133</v>
      </c>
      <c r="D44" s="89">
        <v>30</v>
      </c>
      <c r="E44" s="128">
        <f>[1]Facilities!I37</f>
        <v>2174952.2300000004</v>
      </c>
      <c r="F44" s="124">
        <f>+D44/C44</f>
        <v>0.22556390977443608</v>
      </c>
      <c r="G44" s="129">
        <f>+E44*F44</f>
        <v>490590.72857142863</v>
      </c>
      <c r="H44" s="87" t="s">
        <v>86</v>
      </c>
      <c r="I44" s="87"/>
    </row>
    <row r="45" spans="1:9" x14ac:dyDescent="0.35">
      <c r="A45" s="110"/>
      <c r="E45" s="87"/>
      <c r="F45" s="87"/>
      <c r="G45" s="87"/>
      <c r="H45" s="87"/>
      <c r="I45" s="87"/>
    </row>
    <row r="46" spans="1:9" x14ac:dyDescent="0.35">
      <c r="A46" s="110"/>
      <c r="E46" s="87"/>
      <c r="F46" s="87"/>
      <c r="G46" s="87"/>
      <c r="H46" s="87"/>
      <c r="I46" s="87"/>
    </row>
    <row r="47" spans="1:9" x14ac:dyDescent="0.35">
      <c r="A47" s="110"/>
      <c r="E47" s="87"/>
      <c r="F47" s="87"/>
      <c r="G47" s="87"/>
      <c r="H47" s="87"/>
      <c r="I47" s="87"/>
    </row>
    <row r="48" spans="1:9" x14ac:dyDescent="0.35">
      <c r="A48" s="110"/>
      <c r="E48" s="87"/>
      <c r="F48" s="87"/>
      <c r="G48" s="87"/>
      <c r="H48" s="87"/>
      <c r="I48" s="87"/>
    </row>
    <row r="49" spans="1:9" x14ac:dyDescent="0.35">
      <c r="A49" s="110"/>
      <c r="E49" s="87"/>
      <c r="F49" s="87"/>
      <c r="G49" s="87"/>
      <c r="H49" s="87"/>
      <c r="I49" s="87"/>
    </row>
    <row r="50" spans="1:9" x14ac:dyDescent="0.35">
      <c r="A50" s="110"/>
      <c r="E50" s="87"/>
      <c r="F50" s="87"/>
      <c r="G50" s="87"/>
      <c r="H50" s="87"/>
      <c r="I50" s="87"/>
    </row>
    <row r="51" spans="1:9" x14ac:dyDescent="0.35">
      <c r="A51" s="110"/>
      <c r="E51" s="87"/>
      <c r="F51" s="87"/>
      <c r="G51" s="87"/>
      <c r="H51" s="87"/>
      <c r="I51" s="87"/>
    </row>
    <row r="52" spans="1:9" x14ac:dyDescent="0.35">
      <c r="A52" s="110"/>
      <c r="E52" s="87"/>
      <c r="F52" s="87"/>
      <c r="G52" s="87"/>
      <c r="H52" s="87"/>
      <c r="I52" s="87"/>
    </row>
    <row r="53" spans="1:9" x14ac:dyDescent="0.35">
      <c r="A53" s="110"/>
      <c r="E53" s="87"/>
      <c r="F53" s="87"/>
      <c r="G53" s="87"/>
      <c r="H53" s="87"/>
      <c r="I53" s="87"/>
    </row>
    <row r="54" spans="1:9" x14ac:dyDescent="0.35">
      <c r="A54" s="110"/>
      <c r="E54" s="87"/>
      <c r="F54" s="87"/>
      <c r="G54" s="87"/>
      <c r="H54" s="87"/>
      <c r="I54" s="87"/>
    </row>
    <row r="55" spans="1:9" x14ac:dyDescent="0.35">
      <c r="A55" s="110"/>
      <c r="E55" s="87"/>
      <c r="F55" s="87"/>
      <c r="G55" s="87"/>
      <c r="H55" s="87"/>
      <c r="I55" s="87"/>
    </row>
    <row r="56" spans="1:9" x14ac:dyDescent="0.35">
      <c r="A56" s="110"/>
      <c r="E56" s="87"/>
      <c r="F56" s="87"/>
      <c r="G56" s="87"/>
      <c r="H56" s="87"/>
      <c r="I56" s="87"/>
    </row>
    <row r="57" spans="1:9" x14ac:dyDescent="0.35">
      <c r="A57" s="110"/>
      <c r="E57" s="87"/>
      <c r="F57" s="87"/>
      <c r="G57" s="87"/>
      <c r="H57" s="87"/>
      <c r="I57" s="87"/>
    </row>
    <row r="58" spans="1:9" x14ac:dyDescent="0.35">
      <c r="A58" s="110"/>
      <c r="E58" s="87"/>
      <c r="F58" s="87"/>
      <c r="G58" s="87"/>
      <c r="H58" s="87"/>
      <c r="I58" s="87"/>
    </row>
    <row r="59" spans="1:9" x14ac:dyDescent="0.35">
      <c r="A59" s="110"/>
      <c r="E59" s="87"/>
      <c r="F59" s="87"/>
      <c r="G59" s="87"/>
      <c r="H59" s="87"/>
      <c r="I59" s="87"/>
    </row>
    <row r="60" spans="1:9" x14ac:dyDescent="0.35">
      <c r="A60" s="110"/>
      <c r="E60" s="87"/>
      <c r="F60" s="87"/>
      <c r="G60" s="87"/>
      <c r="H60" s="87"/>
      <c r="I60" s="87"/>
    </row>
    <row r="61" spans="1:9" x14ac:dyDescent="0.35">
      <c r="A61" s="110"/>
      <c r="E61" s="87"/>
      <c r="F61" s="87"/>
      <c r="G61" s="87"/>
      <c r="H61" s="87"/>
      <c r="I61" s="87"/>
    </row>
    <row r="62" spans="1:9" x14ac:dyDescent="0.35">
      <c r="A62" s="110"/>
      <c r="E62" s="87"/>
      <c r="F62" s="87"/>
      <c r="G62" s="87"/>
      <c r="H62" s="87"/>
      <c r="I62" s="87"/>
    </row>
    <row r="63" spans="1:9" x14ac:dyDescent="0.35">
      <c r="A63" s="110"/>
      <c r="E63" s="87"/>
      <c r="F63" s="87"/>
      <c r="G63" s="87"/>
      <c r="H63" s="87"/>
      <c r="I63" s="87"/>
    </row>
    <row r="64" spans="1:9" x14ac:dyDescent="0.35">
      <c r="A64" s="110"/>
      <c r="E64" s="87"/>
      <c r="F64" s="87"/>
      <c r="G64" s="87"/>
      <c r="H64" s="87"/>
      <c r="I64" s="87"/>
    </row>
    <row r="65" spans="1:9" x14ac:dyDescent="0.35">
      <c r="A65" s="110"/>
      <c r="E65" s="87"/>
      <c r="F65" s="87"/>
      <c r="G65" s="87"/>
      <c r="H65" s="87"/>
      <c r="I65" s="87"/>
    </row>
    <row r="66" spans="1:9" x14ac:dyDescent="0.35">
      <c r="A66" s="110"/>
      <c r="E66" s="87"/>
      <c r="F66" s="87"/>
      <c r="G66" s="87"/>
      <c r="H66" s="87"/>
      <c r="I66" s="87"/>
    </row>
    <row r="67" spans="1:9" x14ac:dyDescent="0.35">
      <c r="A67" s="110"/>
      <c r="E67" s="87"/>
      <c r="F67" s="87"/>
      <c r="G67" s="87"/>
      <c r="H67" s="87"/>
      <c r="I67" s="87"/>
    </row>
    <row r="68" spans="1:9" x14ac:dyDescent="0.35">
      <c r="A68" s="110"/>
      <c r="E68" s="87"/>
      <c r="F68" s="87"/>
      <c r="G68" s="87"/>
      <c r="H68" s="87"/>
      <c r="I68" s="87"/>
    </row>
    <row r="69" spans="1:9" x14ac:dyDescent="0.35">
      <c r="A69" s="110"/>
      <c r="E69" s="87"/>
      <c r="F69" s="87"/>
      <c r="G69" s="87"/>
      <c r="H69" s="87"/>
      <c r="I69" s="87"/>
    </row>
    <row r="70" spans="1:9" x14ac:dyDescent="0.35">
      <c r="A70" s="110"/>
      <c r="E70" s="87"/>
      <c r="F70" s="87"/>
      <c r="G70" s="87"/>
      <c r="H70" s="87"/>
      <c r="I70" s="87"/>
    </row>
    <row r="71" spans="1:9" x14ac:dyDescent="0.35">
      <c r="A71" s="110"/>
      <c r="E71" s="87"/>
      <c r="F71" s="87"/>
      <c r="G71" s="87"/>
      <c r="H71" s="87"/>
      <c r="I71" s="87"/>
    </row>
    <row r="72" spans="1:9" x14ac:dyDescent="0.35">
      <c r="A72" s="110"/>
      <c r="E72" s="87"/>
      <c r="H72" s="87"/>
      <c r="I72" s="87"/>
    </row>
    <row r="73" spans="1:9" x14ac:dyDescent="0.35">
      <c r="A73" s="110"/>
    </row>
    <row r="74" spans="1:9" x14ac:dyDescent="0.35">
      <c r="A74" s="110"/>
    </row>
    <row r="75" spans="1:9" x14ac:dyDescent="0.35">
      <c r="A75" s="110"/>
    </row>
    <row r="76" spans="1:9" x14ac:dyDescent="0.35">
      <c r="A76" s="110"/>
    </row>
    <row r="77" spans="1:9" x14ac:dyDescent="0.35">
      <c r="A77" s="110"/>
    </row>
    <row r="78" spans="1:9" x14ac:dyDescent="0.35">
      <c r="A78" s="110"/>
    </row>
    <row r="79" spans="1:9" x14ac:dyDescent="0.35">
      <c r="A79" s="110"/>
    </row>
    <row r="80" spans="1:9" x14ac:dyDescent="0.35">
      <c r="A80" s="110"/>
    </row>
    <row r="81" spans="1:1" x14ac:dyDescent="0.35">
      <c r="A81" s="110"/>
    </row>
    <row r="82" spans="1:1" x14ac:dyDescent="0.35">
      <c r="A82" s="110"/>
    </row>
    <row r="83" spans="1:1" x14ac:dyDescent="0.35">
      <c r="A83" s="110"/>
    </row>
    <row r="84" spans="1:1" x14ac:dyDescent="0.35">
      <c r="A84" s="110"/>
    </row>
    <row r="85" spans="1:1" x14ac:dyDescent="0.35">
      <c r="A85" s="110"/>
    </row>
    <row r="86" spans="1:1" x14ac:dyDescent="0.35">
      <c r="A86" s="110"/>
    </row>
    <row r="87" spans="1:1" x14ac:dyDescent="0.35">
      <c r="A87" s="110"/>
    </row>
    <row r="88" spans="1:1" x14ac:dyDescent="0.35">
      <c r="A88" s="110"/>
    </row>
    <row r="89" spans="1:1" x14ac:dyDescent="0.35">
      <c r="A89" s="110"/>
    </row>
    <row r="90" spans="1:1" x14ac:dyDescent="0.35">
      <c r="A90" s="110"/>
    </row>
    <row r="91" spans="1:1" x14ac:dyDescent="0.35">
      <c r="A91" s="110"/>
    </row>
    <row r="92" spans="1:1" x14ac:dyDescent="0.35">
      <c r="A92" s="110"/>
    </row>
    <row r="93" spans="1:1" x14ac:dyDescent="0.35">
      <c r="A93" s="110"/>
    </row>
    <row r="94" spans="1:1" x14ac:dyDescent="0.35">
      <c r="A94" s="110"/>
    </row>
    <row r="95" spans="1:1" x14ac:dyDescent="0.35">
      <c r="A95" s="110"/>
    </row>
    <row r="96" spans="1:1" x14ac:dyDescent="0.35">
      <c r="A96" s="110"/>
    </row>
    <row r="97" spans="1:1" x14ac:dyDescent="0.35">
      <c r="A97" s="110"/>
    </row>
    <row r="98" spans="1:1" x14ac:dyDescent="0.35">
      <c r="A98" s="110"/>
    </row>
  </sheetData>
  <mergeCells count="1">
    <mergeCell ref="G14:G15"/>
  </mergeCells>
  <pageMargins left="0.7" right="0.7" top="0.75" bottom="0.75" header="0.3" footer="0.3"/>
  <pageSetup scale="78" orientation="landscape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6a83bda-82e7-4321-80b8-4e5b79ff1800">
      <Terms xmlns="http://schemas.microsoft.com/office/infopath/2007/PartnerControls"/>
    </lcf76f155ced4ddcb4097134ff3c332f>
    <TaxCatchAll xmlns="5d1002e3-7d10-414b-bdc9-7bd943abb1d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9B54D0521605468D0D4D809930C4D9" ma:contentTypeVersion="17" ma:contentTypeDescription="Create a new document." ma:contentTypeScope="" ma:versionID="343903483b79d5f8d0fcfacb31879669">
  <xsd:schema xmlns:xsd="http://www.w3.org/2001/XMLSchema" xmlns:xs="http://www.w3.org/2001/XMLSchema" xmlns:p="http://schemas.microsoft.com/office/2006/metadata/properties" xmlns:ns2="56a83bda-82e7-4321-80b8-4e5b79ff1800" xmlns:ns3="5d1002e3-7d10-414b-bdc9-7bd943abb1d0" targetNamespace="http://schemas.microsoft.com/office/2006/metadata/properties" ma:root="true" ma:fieldsID="114a4da66e905a783d0ef000f57164ce" ns2:_="" ns3:_="">
    <xsd:import namespace="56a83bda-82e7-4321-80b8-4e5b79ff1800"/>
    <xsd:import namespace="5d1002e3-7d10-414b-bdc9-7bd943abb1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a83bda-82e7-4321-80b8-4e5b79ff18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a7701551-d0f5-45b6-bf04-2f863caa53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002e3-7d10-414b-bdc9-7bd943abb1d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eb869b7-047a-4883-bd64-acce11f6175c}" ma:internalName="TaxCatchAll" ma:showField="CatchAllData" ma:web="5d1002e3-7d10-414b-bdc9-7bd943abb1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018A38-28C9-43B1-9167-BAA53B28F1BF}">
  <ds:schemaRefs>
    <ds:schemaRef ds:uri="http://schemas.microsoft.com/office/2006/metadata/properties"/>
    <ds:schemaRef ds:uri="http://schemas.microsoft.com/office/infopath/2007/PartnerControls"/>
    <ds:schemaRef ds:uri="56a83bda-82e7-4321-80b8-4e5b79ff1800"/>
    <ds:schemaRef ds:uri="5d1002e3-7d10-414b-bdc9-7bd943abb1d0"/>
  </ds:schemaRefs>
</ds:datastoreItem>
</file>

<file path=customXml/itemProps2.xml><?xml version="1.0" encoding="utf-8"?>
<ds:datastoreItem xmlns:ds="http://schemas.openxmlformats.org/officeDocument/2006/customXml" ds:itemID="{D4847897-A399-41F1-BE3F-E45B6D34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BE91AC-D290-46F5-AAB1-32D944C4AC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a83bda-82e7-4321-80b8-4e5b79ff1800"/>
    <ds:schemaRef ds:uri="5d1002e3-7d10-414b-bdc9-7bd943abb1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FY26 P&amp;L Summary</vt:lpstr>
      <vt:lpstr>FY26 Beacon Endowment Dist</vt:lpstr>
      <vt:lpstr>FY26 Occupancy Cost</vt:lpstr>
    </vt:vector>
  </TitlesOfParts>
  <Company>Unitarian Universalist Association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mlindgren</dc:creator>
  <cp:lastModifiedBy>Betty Clark</cp:lastModifiedBy>
  <cp:lastPrinted>2025-02-19T17:09:08Z</cp:lastPrinted>
  <dcterms:created xsi:type="dcterms:W3CDTF">2010-08-18T21:12:13Z</dcterms:created>
  <dcterms:modified xsi:type="dcterms:W3CDTF">2025-05-08T20:43:31Z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0x010100C49B54D0521605468D0D4D809930C4D9</vt:lpwstr>
  </property>
</Properties>
</file>